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C76A8BD3-A0C2-4D4F-AF6C-68E156F0967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АПП+Стомат._0" sheetId="15" state="hidden" r:id="rId1"/>
    <sheet name="АПП БАЗ (факт)" sheetId="28" r:id="rId2"/>
    <sheet name="АПП Баз" sheetId="19" state="hidden" r:id="rId3"/>
    <sheet name="АПП+Стомат." sheetId="27" state="hidden" r:id="rId4"/>
    <sheet name="АПП Баз (2)" sheetId="26" state="hidden" r:id="rId5"/>
    <sheet name="АПП+Стомат._план" sheetId="20" state="hidden" r:id="rId6"/>
    <sheet name="Свод по подушевому" sheetId="23" state="hidden" r:id="rId7"/>
    <sheet name="Свод по подушевому (1)" sheetId="25" state="hidden" r:id="rId8"/>
    <sheet name="АПП Баз (1)" sheetId="24" state="hidden" r:id="rId9"/>
    <sheet name="АПП+Стомат. (1)" sheetId="22" state="hidden" r:id="rId10"/>
    <sheet name="АПП БАЗ (0)" sheetId="1" state="hidden" r:id="rId11"/>
    <sheet name="АПП+Стомат. (0)" sheetId="17" state="hidden" r:id="rId12"/>
    <sheet name="АПП БАЗ (договоры)" sheetId="7" state="hidden" r:id="rId13"/>
  </sheets>
  <definedNames>
    <definedName name="_xlnm._FilterDatabase" localSheetId="2" hidden="1">'АПП Баз'!$A$7:$AG$71</definedName>
    <definedName name="_xlnm._FilterDatabase" localSheetId="10" hidden="1">'АПП БАЗ (0)'!$A$7:$Y$79</definedName>
    <definedName name="_xlnm._FilterDatabase" localSheetId="8" hidden="1">'АПП Баз (1)'!$A$7:$Y$76</definedName>
    <definedName name="_xlnm._FilterDatabase" localSheetId="4" hidden="1">'АПП Баз (2)'!$A$7:$AG$71</definedName>
    <definedName name="_xlnm._FilterDatabase" localSheetId="12" hidden="1">'АПП БАЗ (договоры)'!$A$7:$T$7</definedName>
    <definedName name="_xlnm._FilterDatabase" localSheetId="1" hidden="1">'АПП БАЗ (факт)'!$A$12:$H$106</definedName>
    <definedName name="_xlnm._FilterDatabase" localSheetId="3" hidden="1">'АПП+Стомат.'!$A$3:$AS$87</definedName>
    <definedName name="_xlnm._FilterDatabase" localSheetId="11" hidden="1">'АПП+Стомат. (0)'!$A$3:$AU$89</definedName>
    <definedName name="_xlnm._FilterDatabase" localSheetId="9" hidden="1">'АПП+Стомат. (1)'!$A$3:$AS$89</definedName>
    <definedName name="_xlnm._FilterDatabase" localSheetId="0" hidden="1">'АПП+Стомат._0'!$A$3:$AK$89</definedName>
    <definedName name="_xlnm._FilterDatabase" localSheetId="5" hidden="1">'АПП+Стомат._план'!$A$3:$AS$89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2">'АПП Баз'!$6:$7</definedName>
    <definedName name="_xlnm.Print_Titles" localSheetId="10">'АПП БАЗ (0)'!$6:$7</definedName>
    <definedName name="_xlnm.Print_Titles" localSheetId="8">'АПП Баз (1)'!$6:$7</definedName>
    <definedName name="_xlnm.Print_Titles" localSheetId="4">'АПП Баз (2)'!$6:$7</definedName>
    <definedName name="_xlnm.Print_Titles" localSheetId="12">'АПП БАЗ (договоры)'!$6:$7</definedName>
    <definedName name="_xlnm.Print_Titles" localSheetId="1">'АПП БАЗ (факт)'!$11:$12</definedName>
    <definedName name="_xlnm.Print_Titles" localSheetId="3">'АПП+Стомат.'!$2:$2</definedName>
    <definedName name="_xlnm.Print_Titles" localSheetId="11">'АПП+Стомат. (0)'!$2:$2</definedName>
    <definedName name="_xlnm.Print_Titles" localSheetId="9">'АПП+Стомат. (1)'!$2:$2</definedName>
    <definedName name="_xlnm.Print_Titles" localSheetId="0">'АПП+Стомат._0'!$2:$2</definedName>
    <definedName name="_xlnm.Print_Titles" localSheetId="5">'АПП+Стомат._план'!$2:$2</definedName>
    <definedName name="_xlnm.Print_Area" localSheetId="2">'АПП Баз'!$A$1:$Y$70</definedName>
    <definedName name="_xlnm.Print_Area" localSheetId="10">'АПП БАЗ (0)'!$A$1:$Y$73</definedName>
    <definedName name="_xlnm.Print_Area" localSheetId="8">'АПП Баз (1)'!$A$1:$Y$70</definedName>
    <definedName name="_xlnm.Print_Area" localSheetId="4">'АПП Баз (2)'!$A$1:$Y$70</definedName>
    <definedName name="_xlnm.Print_Area" localSheetId="12">'АПП БАЗ (договоры)'!$A$1:$O$75</definedName>
    <definedName name="_xlnm.Print_Area" localSheetId="1">'АПП БАЗ (факт)'!$A$1:$H$111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7" i="27" l="1"/>
  <c r="AI18" i="27"/>
  <c r="AI19" i="27"/>
  <c r="AI20" i="27"/>
  <c r="AI22" i="27"/>
  <c r="AI23" i="27"/>
  <c r="AI24" i="27"/>
  <c r="AI25" i="27"/>
  <c r="AI26" i="27"/>
  <c r="AI27" i="27"/>
  <c r="AI28" i="27"/>
  <c r="AI29" i="27"/>
  <c r="AI30" i="27"/>
  <c r="AI31" i="27"/>
  <c r="AI32" i="27"/>
  <c r="AI33" i="27"/>
  <c r="AI34" i="27"/>
  <c r="AI35" i="27"/>
  <c r="AI36" i="27"/>
  <c r="AI37" i="27"/>
  <c r="AI38" i="27"/>
  <c r="AI39" i="27"/>
  <c r="AI40" i="27"/>
  <c r="AI41" i="27"/>
  <c r="AI42" i="27"/>
  <c r="O25" i="19" l="1"/>
  <c r="P25" i="19"/>
  <c r="Y74" i="19" l="1"/>
  <c r="M23" i="19" l="1"/>
  <c r="M46" i="19"/>
  <c r="M40" i="19"/>
  <c r="M34" i="19"/>
  <c r="M28" i="19"/>
  <c r="M22" i="19"/>
  <c r="M41" i="19"/>
  <c r="M45" i="19"/>
  <c r="M39" i="19"/>
  <c r="M33" i="19"/>
  <c r="M27" i="19"/>
  <c r="M21" i="19"/>
  <c r="M44" i="19"/>
  <c r="M38" i="19"/>
  <c r="M32" i="19"/>
  <c r="M26" i="19"/>
  <c r="M43" i="19"/>
  <c r="M37" i="19"/>
  <c r="M31" i="19"/>
  <c r="M25" i="19"/>
  <c r="M29" i="19"/>
  <c r="M35" i="19"/>
  <c r="M42" i="19"/>
  <c r="M36" i="19"/>
  <c r="M30" i="19"/>
  <c r="M24" i="19"/>
  <c r="N46" i="19"/>
  <c r="N40" i="19"/>
  <c r="N34" i="19"/>
  <c r="N28" i="19"/>
  <c r="N22" i="19"/>
  <c r="N20" i="19"/>
  <c r="N45" i="19"/>
  <c r="N39" i="19"/>
  <c r="N33" i="19"/>
  <c r="N27" i="19"/>
  <c r="N21" i="19"/>
  <c r="N44" i="19"/>
  <c r="N38" i="19"/>
  <c r="N32" i="19"/>
  <c r="N26" i="19"/>
  <c r="N43" i="19"/>
  <c r="N37" i="19"/>
  <c r="N31" i="19"/>
  <c r="N25" i="19"/>
  <c r="N42" i="19"/>
  <c r="N36" i="19"/>
  <c r="N30" i="19"/>
  <c r="N24" i="19"/>
  <c r="M20" i="19"/>
  <c r="N41" i="19"/>
  <c r="N35" i="19"/>
  <c r="N29" i="19"/>
  <c r="N23" i="19"/>
  <c r="K17" i="27" l="1"/>
  <c r="X21" i="19" s="1"/>
  <c r="K18" i="27"/>
  <c r="X22" i="19" s="1"/>
  <c r="K19" i="27"/>
  <c r="X23" i="19" s="1"/>
  <c r="K20" i="27"/>
  <c r="X24" i="19" s="1"/>
  <c r="K21" i="27"/>
  <c r="X25" i="19" s="1"/>
  <c r="K22" i="27"/>
  <c r="X26" i="19" s="1"/>
  <c r="K23" i="27"/>
  <c r="X27" i="19" s="1"/>
  <c r="K24" i="27"/>
  <c r="X28" i="19" s="1"/>
  <c r="K25" i="27"/>
  <c r="X29" i="19" s="1"/>
  <c r="K26" i="27"/>
  <c r="X30" i="19" s="1"/>
  <c r="K27" i="27"/>
  <c r="X31" i="19" s="1"/>
  <c r="K28" i="27"/>
  <c r="X32" i="19" s="1"/>
  <c r="K29" i="27"/>
  <c r="X33" i="19" s="1"/>
  <c r="K30" i="27"/>
  <c r="X34" i="19" s="1"/>
  <c r="K31" i="27"/>
  <c r="X35" i="19" s="1"/>
  <c r="K32" i="27"/>
  <c r="X36" i="19" s="1"/>
  <c r="K33" i="27"/>
  <c r="X37" i="19" s="1"/>
  <c r="K34" i="27"/>
  <c r="X38" i="19" s="1"/>
  <c r="K35" i="27"/>
  <c r="X39" i="19" s="1"/>
  <c r="K36" i="27"/>
  <c r="X40" i="19" s="1"/>
  <c r="K37" i="27"/>
  <c r="X41" i="19" s="1"/>
  <c r="K38" i="27"/>
  <c r="X42" i="19" s="1"/>
  <c r="K39" i="27"/>
  <c r="X43" i="19" s="1"/>
  <c r="K40" i="27"/>
  <c r="X44" i="19" s="1"/>
  <c r="K41" i="27"/>
  <c r="X45" i="19" s="1"/>
  <c r="K42" i="27"/>
  <c r="X46" i="19" s="1"/>
  <c r="K16" i="27"/>
  <c r="X20" i="19" s="1"/>
  <c r="I17" i="27"/>
  <c r="I18" i="27"/>
  <c r="I19" i="27"/>
  <c r="I20" i="27"/>
  <c r="I21" i="27"/>
  <c r="I22" i="27"/>
  <c r="I23" i="27"/>
  <c r="I24" i="27"/>
  <c r="I25" i="27"/>
  <c r="I26" i="27"/>
  <c r="I27" i="27"/>
  <c r="I28" i="27"/>
  <c r="I29" i="27"/>
  <c r="I30" i="27"/>
  <c r="I31" i="27"/>
  <c r="I32" i="27"/>
  <c r="I33" i="27"/>
  <c r="I34" i="27"/>
  <c r="I35" i="27"/>
  <c r="I36" i="27"/>
  <c r="I37" i="27"/>
  <c r="I38" i="27"/>
  <c r="I39" i="27"/>
  <c r="I40" i="27"/>
  <c r="I41" i="27"/>
  <c r="I42" i="27"/>
  <c r="I16" i="27"/>
  <c r="Q21" i="19"/>
  <c r="R21" i="19"/>
  <c r="Q22" i="19"/>
  <c r="R22" i="19"/>
  <c r="Q23" i="19"/>
  <c r="R23" i="19"/>
  <c r="Q24" i="19"/>
  <c r="R24" i="19"/>
  <c r="Q25" i="19"/>
  <c r="Q26" i="19"/>
  <c r="R26" i="19"/>
  <c r="Q27" i="19"/>
  <c r="R27" i="19"/>
  <c r="Q28" i="19"/>
  <c r="R28" i="19"/>
  <c r="Q29" i="19"/>
  <c r="R29" i="19"/>
  <c r="Q30" i="19"/>
  <c r="R30" i="19"/>
  <c r="Q31" i="19"/>
  <c r="R31" i="19"/>
  <c r="Q32" i="19"/>
  <c r="R32" i="19"/>
  <c r="Q33" i="19"/>
  <c r="R33" i="19"/>
  <c r="Q34" i="19"/>
  <c r="R34" i="19"/>
  <c r="Q35" i="19"/>
  <c r="R35" i="19"/>
  <c r="Q36" i="19"/>
  <c r="R36" i="19"/>
  <c r="Q37" i="19"/>
  <c r="R37" i="19"/>
  <c r="Q38" i="19"/>
  <c r="R38" i="19"/>
  <c r="Q39" i="19"/>
  <c r="R39" i="19"/>
  <c r="Q40" i="19"/>
  <c r="R40" i="19"/>
  <c r="Q41" i="19"/>
  <c r="R41" i="19"/>
  <c r="Q42" i="19"/>
  <c r="R42" i="19"/>
  <c r="Q43" i="19"/>
  <c r="R43" i="19"/>
  <c r="Q44" i="19"/>
  <c r="R44" i="19"/>
  <c r="Q45" i="19"/>
  <c r="R45" i="19"/>
  <c r="Q46" i="19"/>
  <c r="R46" i="19"/>
  <c r="R20" i="19"/>
  <c r="Q20" i="19"/>
  <c r="O21" i="19"/>
  <c r="O22" i="19"/>
  <c r="O23" i="19"/>
  <c r="O24" i="19"/>
  <c r="O26" i="19"/>
  <c r="O27" i="19"/>
  <c r="O28" i="19"/>
  <c r="O29" i="19"/>
  <c r="O30" i="19"/>
  <c r="O31" i="19"/>
  <c r="O32" i="19"/>
  <c r="O33" i="19"/>
  <c r="O34" i="19"/>
  <c r="O35" i="19"/>
  <c r="O36" i="19"/>
  <c r="O37" i="19"/>
  <c r="O38" i="19"/>
  <c r="O39" i="19"/>
  <c r="O40" i="19"/>
  <c r="O41" i="19"/>
  <c r="O42" i="19"/>
  <c r="O43" i="19"/>
  <c r="O44" i="19"/>
  <c r="O45" i="19"/>
  <c r="O46" i="19"/>
  <c r="P30" i="19" l="1"/>
  <c r="AL26" i="27"/>
  <c r="P41" i="19"/>
  <c r="AL37" i="27"/>
  <c r="P29" i="19"/>
  <c r="AL25" i="27"/>
  <c r="P42" i="19"/>
  <c r="AL38" i="27"/>
  <c r="P44" i="19"/>
  <c r="AL40" i="27"/>
  <c r="P28" i="19"/>
  <c r="AL24" i="27"/>
  <c r="P39" i="19"/>
  <c r="AL35" i="27"/>
  <c r="P27" i="19"/>
  <c r="AL23" i="27"/>
  <c r="P40" i="19"/>
  <c r="AL36" i="27"/>
  <c r="P38" i="19"/>
  <c r="AL34" i="27"/>
  <c r="P26" i="19"/>
  <c r="AL22" i="27"/>
  <c r="P43" i="19"/>
  <c r="AL39" i="27"/>
  <c r="O20" i="19"/>
  <c r="AK16" i="27"/>
  <c r="R25" i="19"/>
  <c r="AL21" i="27"/>
  <c r="P36" i="19"/>
  <c r="AL32" i="27"/>
  <c r="P23" i="19"/>
  <c r="AL19" i="27"/>
  <c r="P32" i="19"/>
  <c r="AL28" i="27"/>
  <c r="P37" i="19"/>
  <c r="AL33" i="27"/>
  <c r="P24" i="19"/>
  <c r="AL20" i="27"/>
  <c r="P20" i="19"/>
  <c r="AL16" i="27"/>
  <c r="P35" i="19"/>
  <c r="AL31" i="27"/>
  <c r="P22" i="19"/>
  <c r="AL18" i="27"/>
  <c r="P46" i="19"/>
  <c r="AL42" i="27"/>
  <c r="P34" i="19"/>
  <c r="AL30" i="27"/>
  <c r="P21" i="19"/>
  <c r="AL17" i="27"/>
  <c r="P31" i="19"/>
  <c r="AL27" i="27"/>
  <c r="P45" i="19"/>
  <c r="AL41" i="27"/>
  <c r="P33" i="19"/>
  <c r="AL29" i="27"/>
  <c r="Z89" i="27"/>
  <c r="T21" i="19"/>
  <c r="L21" i="19" s="1"/>
  <c r="T22" i="19"/>
  <c r="T23" i="19"/>
  <c r="T24" i="19"/>
  <c r="T25" i="19"/>
  <c r="T26" i="19"/>
  <c r="L26" i="19" s="1"/>
  <c r="T27" i="19"/>
  <c r="L27" i="19" s="1"/>
  <c r="T28" i="19"/>
  <c r="T29" i="19"/>
  <c r="T30" i="19"/>
  <c r="L30" i="19" s="1"/>
  <c r="T31" i="19"/>
  <c r="T32" i="19"/>
  <c r="L32" i="19" s="1"/>
  <c r="T33" i="19"/>
  <c r="L33" i="19" s="1"/>
  <c r="T34" i="19"/>
  <c r="T35" i="19"/>
  <c r="T36" i="19"/>
  <c r="L36" i="19" s="1"/>
  <c r="T37" i="19"/>
  <c r="T38" i="19"/>
  <c r="L38" i="19" s="1"/>
  <c r="T39" i="19"/>
  <c r="L39" i="19" s="1"/>
  <c r="T40" i="19"/>
  <c r="T41" i="19"/>
  <c r="L41" i="19" s="1"/>
  <c r="T42" i="19"/>
  <c r="L42" i="19" s="1"/>
  <c r="T43" i="19"/>
  <c r="T44" i="19"/>
  <c r="L44" i="19" s="1"/>
  <c r="T45" i="19"/>
  <c r="L45" i="19" s="1"/>
  <c r="T46" i="19"/>
  <c r="T20" i="19"/>
  <c r="G48" i="19"/>
  <c r="G49" i="19"/>
  <c r="G47" i="19"/>
  <c r="F48" i="19"/>
  <c r="F49" i="19"/>
  <c r="F47" i="19"/>
  <c r="S45" i="19" l="1"/>
  <c r="S39" i="19"/>
  <c r="S33" i="19"/>
  <c r="S27" i="19"/>
  <c r="S21" i="19"/>
  <c r="S44" i="19"/>
  <c r="S38" i="19"/>
  <c r="S32" i="19"/>
  <c r="S26" i="19"/>
  <c r="S34" i="19"/>
  <c r="S46" i="19"/>
  <c r="S43" i="19"/>
  <c r="S37" i="19"/>
  <c r="S31" i="19"/>
  <c r="S25" i="19"/>
  <c r="S22" i="19"/>
  <c r="S42" i="19"/>
  <c r="S36" i="19"/>
  <c r="S30" i="19"/>
  <c r="S24" i="19"/>
  <c r="S28" i="19"/>
  <c r="S41" i="19"/>
  <c r="S35" i="19"/>
  <c r="S29" i="19"/>
  <c r="S23" i="19"/>
  <c r="S40" i="19"/>
  <c r="L46" i="19"/>
  <c r="L31" i="19"/>
  <c r="L25" i="19"/>
  <c r="L20" i="19"/>
  <c r="L24" i="19"/>
  <c r="L23" i="19"/>
  <c r="S20" i="19"/>
  <c r="L43" i="19"/>
  <c r="L37" i="19"/>
  <c r="L35" i="19"/>
  <c r="L29" i="19"/>
  <c r="L40" i="19"/>
  <c r="L34" i="19"/>
  <c r="L28" i="19"/>
  <c r="L22" i="19"/>
  <c r="D47" i="19"/>
  <c r="D49" i="19"/>
  <c r="D48" i="19"/>
  <c r="AI44" i="27"/>
  <c r="AI45" i="27"/>
  <c r="AI46" i="27"/>
  <c r="AI47" i="27"/>
  <c r="AI48" i="27"/>
  <c r="AI49" i="27"/>
  <c r="AI50" i="27"/>
  <c r="AI51" i="27"/>
  <c r="AI52" i="27"/>
  <c r="AI53" i="27"/>
  <c r="AI54" i="27"/>
  <c r="AI55" i="27"/>
  <c r="AI56" i="27"/>
  <c r="AI57" i="27"/>
  <c r="AI58" i="27"/>
  <c r="AI59" i="27"/>
  <c r="AI60" i="27"/>
  <c r="AI61" i="27"/>
  <c r="AI62" i="27"/>
  <c r="AI63" i="27"/>
  <c r="AI64" i="27"/>
  <c r="AI65" i="27"/>
  <c r="AI66" i="27"/>
  <c r="AI67" i="27"/>
  <c r="AI68" i="27"/>
  <c r="AI69" i="27"/>
  <c r="AI70" i="27"/>
  <c r="AI71" i="27"/>
  <c r="AI72" i="27"/>
  <c r="AI73" i="27"/>
  <c r="AI74" i="27"/>
  <c r="AI75" i="27"/>
  <c r="AI76" i="27"/>
  <c r="AI77" i="27"/>
  <c r="AI78" i="27"/>
  <c r="AI79" i="27"/>
  <c r="AI80" i="27"/>
  <c r="AI81" i="27"/>
  <c r="AI82" i="27"/>
  <c r="AI84" i="27"/>
  <c r="AI85" i="27"/>
  <c r="AI86" i="27"/>
  <c r="AI87" i="27"/>
  <c r="AI43" i="27"/>
  <c r="AI5" i="27"/>
  <c r="AI6" i="27"/>
  <c r="AI7" i="27"/>
  <c r="AI9" i="27"/>
  <c r="AI10" i="27"/>
  <c r="AI11" i="27"/>
  <c r="AI12" i="27"/>
  <c r="AI13" i="27"/>
  <c r="AI14" i="27"/>
  <c r="AI15" i="27"/>
  <c r="AI4" i="27"/>
  <c r="G19" i="27" l="1"/>
  <c r="E23" i="19" s="1"/>
  <c r="G20" i="27"/>
  <c r="E24" i="19" s="1"/>
  <c r="G21" i="27"/>
  <c r="G22" i="27"/>
  <c r="E26" i="19" s="1"/>
  <c r="G23" i="27"/>
  <c r="E27" i="19" s="1"/>
  <c r="G24" i="27"/>
  <c r="E28" i="19" s="1"/>
  <c r="G25" i="27"/>
  <c r="E29" i="19" s="1"/>
  <c r="G26" i="27"/>
  <c r="E30" i="19" s="1"/>
  <c r="G27" i="27"/>
  <c r="E31" i="19" s="1"/>
  <c r="G28" i="27"/>
  <c r="E32" i="19" s="1"/>
  <c r="G29" i="27"/>
  <c r="E33" i="19" s="1"/>
  <c r="G30" i="27"/>
  <c r="E34" i="19" s="1"/>
  <c r="G31" i="27"/>
  <c r="E35" i="19" s="1"/>
  <c r="G32" i="27"/>
  <c r="E36" i="19" s="1"/>
  <c r="G33" i="27"/>
  <c r="E37" i="19" s="1"/>
  <c r="G34" i="27"/>
  <c r="E38" i="19" s="1"/>
  <c r="G35" i="27"/>
  <c r="E39" i="19" s="1"/>
  <c r="G36" i="27"/>
  <c r="E40" i="19" s="1"/>
  <c r="G37" i="27"/>
  <c r="E41" i="19" s="1"/>
  <c r="G38" i="27"/>
  <c r="E42" i="19" s="1"/>
  <c r="G39" i="27"/>
  <c r="E43" i="19" s="1"/>
  <c r="G40" i="27"/>
  <c r="E44" i="19" s="1"/>
  <c r="G41" i="27"/>
  <c r="E45" i="19" s="1"/>
  <c r="G42" i="27"/>
  <c r="E46" i="19" s="1"/>
  <c r="G16" i="27" l="1"/>
  <c r="G18" i="27"/>
  <c r="E22" i="19" s="1"/>
  <c r="G17" i="27"/>
  <c r="E21" i="19" s="1"/>
  <c r="K90" i="20"/>
  <c r="AJ65" i="27" l="1"/>
  <c r="AJ66" i="27"/>
  <c r="AJ67" i="27"/>
  <c r="AJ68" i="27"/>
  <c r="AJ69" i="27"/>
  <c r="AJ70" i="27"/>
  <c r="AJ71" i="27"/>
  <c r="AJ72" i="27"/>
  <c r="AJ73" i="27"/>
  <c r="AJ74" i="27"/>
  <c r="AJ75" i="27"/>
  <c r="AJ76" i="27"/>
  <c r="AJ77" i="27"/>
  <c r="AJ78" i="27"/>
  <c r="AJ79" i="27"/>
  <c r="AJ80" i="27"/>
  <c r="AJ81" i="27"/>
  <c r="AJ82" i="27"/>
  <c r="AJ83" i="27"/>
  <c r="AJ84" i="27"/>
  <c r="AJ85" i="27"/>
  <c r="AJ86" i="27"/>
  <c r="AJ87" i="27"/>
  <c r="AJ16" i="27"/>
  <c r="AJ17" i="27"/>
  <c r="AJ18" i="27"/>
  <c r="AJ19" i="27"/>
  <c r="AJ20" i="27"/>
  <c r="AJ21" i="27"/>
  <c r="AJ22" i="27"/>
  <c r="AJ23" i="27"/>
  <c r="AJ24" i="27"/>
  <c r="AJ25" i="27"/>
  <c r="AJ26" i="27"/>
  <c r="AJ27" i="27"/>
  <c r="AJ28" i="27"/>
  <c r="AJ29" i="27"/>
  <c r="AJ30" i="27"/>
  <c r="AJ31" i="27"/>
  <c r="AJ32" i="27"/>
  <c r="AJ33" i="27"/>
  <c r="AJ34" i="27"/>
  <c r="AJ35" i="27"/>
  <c r="AJ36" i="27"/>
  <c r="AJ37" i="27"/>
  <c r="AJ38" i="27"/>
  <c r="AJ39" i="27"/>
  <c r="AJ40" i="27"/>
  <c r="AJ41" i="27"/>
  <c r="AJ42" i="27"/>
  <c r="AJ43" i="27"/>
  <c r="AJ44" i="27"/>
  <c r="AJ45" i="27"/>
  <c r="AJ46" i="27"/>
  <c r="AJ47" i="27"/>
  <c r="AJ48" i="27"/>
  <c r="AJ49" i="27"/>
  <c r="AJ50" i="27"/>
  <c r="AJ51" i="27"/>
  <c r="AJ52" i="27"/>
  <c r="AJ53" i="27"/>
  <c r="AJ54" i="27"/>
  <c r="AJ55" i="27"/>
  <c r="AJ56" i="27"/>
  <c r="AJ57" i="27"/>
  <c r="AJ58" i="27"/>
  <c r="AJ59" i="27"/>
  <c r="AJ60" i="27"/>
  <c r="AJ61" i="27"/>
  <c r="AJ62" i="27"/>
  <c r="AJ63" i="27"/>
  <c r="V25" i="19"/>
  <c r="E25" i="19" s="1"/>
  <c r="V20" i="19"/>
  <c r="E20" i="19" s="1"/>
  <c r="V12" i="19"/>
  <c r="AJ5" i="27"/>
  <c r="AJ6" i="27"/>
  <c r="AJ7" i="27"/>
  <c r="AJ8" i="27"/>
  <c r="AJ9" i="27"/>
  <c r="AJ10" i="27"/>
  <c r="AJ11" i="27"/>
  <c r="AJ12" i="27"/>
  <c r="AJ13" i="27"/>
  <c r="AJ14" i="27"/>
  <c r="AJ15" i="27"/>
  <c r="AJ4" i="27"/>
  <c r="U12" i="19" l="1"/>
  <c r="AI8" i="27"/>
  <c r="U20" i="19"/>
  <c r="AI16" i="27"/>
  <c r="U25" i="19"/>
  <c r="AI21" i="27"/>
  <c r="AJ64" i="27"/>
  <c r="AM16" i="27"/>
  <c r="AN16" i="27" s="1"/>
  <c r="AI83" i="27" l="1"/>
  <c r="AM8" i="27"/>
  <c r="AN8" i="27" s="1"/>
  <c r="AM4" i="27"/>
  <c r="AN4" i="27" l="1"/>
  <c r="AL87" i="27"/>
  <c r="AL86" i="27"/>
  <c r="AL85" i="27"/>
  <c r="AL84" i="27"/>
  <c r="AL83" i="27"/>
  <c r="AL82" i="27"/>
  <c r="AL81" i="27"/>
  <c r="AL80" i="27"/>
  <c r="AL79" i="27"/>
  <c r="AL78" i="27"/>
  <c r="AL75" i="27"/>
  <c r="AL74" i="27"/>
  <c r="AL73" i="27"/>
  <c r="AL72" i="27"/>
  <c r="AL71" i="27"/>
  <c r="AL70" i="27"/>
  <c r="AL69" i="27"/>
  <c r="AL68" i="27"/>
  <c r="AL67" i="27"/>
  <c r="AL66" i="27"/>
  <c r="AL65" i="27"/>
  <c r="AL64" i="27"/>
  <c r="AL63" i="27"/>
  <c r="AL62" i="27"/>
  <c r="AL60" i="27"/>
  <c r="AL59" i="27"/>
  <c r="AL58" i="27"/>
  <c r="AL57" i="27"/>
  <c r="AL56" i="27"/>
  <c r="AL55" i="27"/>
  <c r="AL54" i="27"/>
  <c r="AL53" i="27"/>
  <c r="AL52" i="27"/>
  <c r="AL51" i="27"/>
  <c r="AL50" i="27"/>
  <c r="AL48" i="27"/>
  <c r="AL47" i="27"/>
  <c r="AL46" i="27"/>
  <c r="AL45" i="27"/>
  <c r="AL44" i="27"/>
  <c r="AL43" i="27"/>
  <c r="AL15" i="27"/>
  <c r="AL14" i="27"/>
  <c r="AL13" i="27"/>
  <c r="AL12" i="27"/>
  <c r="AL11" i="27"/>
  <c r="AL9" i="27"/>
  <c r="AL8" i="27"/>
  <c r="AL7" i="27"/>
  <c r="AL6" i="27"/>
  <c r="AL5" i="27"/>
  <c r="AL4" i="27"/>
  <c r="AK60" i="27" l="1"/>
  <c r="AK13" i="27"/>
  <c r="AK64" i="27"/>
  <c r="AK45" i="27"/>
  <c r="AK49" i="27"/>
  <c r="AK53" i="27"/>
  <c r="AK57" i="27"/>
  <c r="AK61" i="27"/>
  <c r="AK56" i="27"/>
  <c r="AK6" i="27"/>
  <c r="AK10" i="27"/>
  <c r="AK14" i="27"/>
  <c r="AK68" i="27"/>
  <c r="AK72" i="27"/>
  <c r="AK76" i="27"/>
  <c r="AK80" i="27"/>
  <c r="AK84" i="27"/>
  <c r="AK69" i="27"/>
  <c r="AK44" i="27"/>
  <c r="AK46" i="27"/>
  <c r="AK62" i="27"/>
  <c r="AK73" i="27"/>
  <c r="AK77" i="27"/>
  <c r="AK81" i="27"/>
  <c r="AK85" i="27"/>
  <c r="AK48" i="27"/>
  <c r="AK50" i="27"/>
  <c r="AK65" i="27"/>
  <c r="AK11" i="27"/>
  <c r="AK15" i="27"/>
  <c r="AL77" i="27"/>
  <c r="AM77" i="27"/>
  <c r="AK54" i="27"/>
  <c r="AK7" i="27"/>
  <c r="AK43" i="27"/>
  <c r="AK47" i="27"/>
  <c r="AK51" i="27"/>
  <c r="AK55" i="27"/>
  <c r="AK59" i="27"/>
  <c r="AK52" i="27"/>
  <c r="AK9" i="27"/>
  <c r="AK58" i="27"/>
  <c r="AK4" i="27"/>
  <c r="AK8" i="27"/>
  <c r="AK12" i="27"/>
  <c r="AK63" i="27"/>
  <c r="AK66" i="27"/>
  <c r="AK70" i="27"/>
  <c r="AK78" i="27"/>
  <c r="AK82" i="27"/>
  <c r="AK86" i="27"/>
  <c r="AK5" i="27"/>
  <c r="AK67" i="27"/>
  <c r="AK71" i="27"/>
  <c r="AK75" i="27"/>
  <c r="AK79" i="27"/>
  <c r="AK83" i="27"/>
  <c r="AK87" i="27"/>
  <c r="AK31" i="27"/>
  <c r="AK25" i="27"/>
  <c r="AM87" i="27"/>
  <c r="AK42" i="27"/>
  <c r="AK26" i="27"/>
  <c r="AM7" i="27"/>
  <c r="S89" i="27"/>
  <c r="S92" i="27" s="1"/>
  <c r="AM57" i="27"/>
  <c r="F89" i="27"/>
  <c r="AK32" i="27"/>
  <c r="AM51" i="27"/>
  <c r="AM75" i="27"/>
  <c r="AM45" i="27"/>
  <c r="AM55" i="27"/>
  <c r="AM81" i="27"/>
  <c r="AM9" i="27"/>
  <c r="AM19" i="27"/>
  <c r="AN19" i="27" s="1"/>
  <c r="AM21" i="27"/>
  <c r="AN21" i="27" s="1"/>
  <c r="AM33" i="27"/>
  <c r="AN33" i="27" s="1"/>
  <c r="AM69" i="27"/>
  <c r="AM73" i="27"/>
  <c r="AM5" i="27"/>
  <c r="AK33" i="27"/>
  <c r="AM43" i="27"/>
  <c r="AM31" i="27"/>
  <c r="AN31" i="27" s="1"/>
  <c r="AM54" i="27"/>
  <c r="AM64" i="27"/>
  <c r="AK17" i="27"/>
  <c r="AK21" i="27"/>
  <c r="AK29" i="27"/>
  <c r="AM34" i="27"/>
  <c r="AN34" i="27" s="1"/>
  <c r="AK40" i="27"/>
  <c r="AM41" i="27"/>
  <c r="AN41" i="27" s="1"/>
  <c r="M89" i="27"/>
  <c r="M92" i="27" s="1"/>
  <c r="AA89" i="27"/>
  <c r="AA92" i="27" s="1"/>
  <c r="AE89" i="27"/>
  <c r="AE92" i="27" s="1"/>
  <c r="AK18" i="27"/>
  <c r="AK24" i="27"/>
  <c r="AM25" i="27"/>
  <c r="AN25" i="27" s="1"/>
  <c r="AK30" i="27"/>
  <c r="AM42" i="27"/>
  <c r="AN42" i="27" s="1"/>
  <c r="AM61" i="27"/>
  <c r="AM62" i="27"/>
  <c r="AM63" i="27"/>
  <c r="AM70" i="27"/>
  <c r="AM82" i="27"/>
  <c r="AM47" i="27"/>
  <c r="AM58" i="27"/>
  <c r="AM66" i="27"/>
  <c r="AK23" i="27"/>
  <c r="AM27" i="27"/>
  <c r="AN27" i="27" s="1"/>
  <c r="L89" i="27"/>
  <c r="AM13" i="27"/>
  <c r="AK19" i="27"/>
  <c r="AM22" i="27"/>
  <c r="AN22" i="27" s="1"/>
  <c r="AM28" i="27"/>
  <c r="AN28" i="27" s="1"/>
  <c r="AM76" i="27"/>
  <c r="AM48" i="27"/>
  <c r="P89" i="27"/>
  <c r="P92" i="27" s="1"/>
  <c r="AM14" i="27"/>
  <c r="W89" i="27"/>
  <c r="W92" i="27" s="1"/>
  <c r="AM17" i="27"/>
  <c r="AN17" i="27" s="1"/>
  <c r="AK28" i="27"/>
  <c r="AM29" i="27"/>
  <c r="AN29" i="27" s="1"/>
  <c r="AM32" i="27"/>
  <c r="AN32" i="27" s="1"/>
  <c r="AM36" i="27"/>
  <c r="AN36" i="27" s="1"/>
  <c r="AK41" i="27"/>
  <c r="AM44" i="27"/>
  <c r="AM53" i="27"/>
  <c r="N89" i="27"/>
  <c r="N92" i="27" s="1"/>
  <c r="AM71" i="27"/>
  <c r="AM78" i="27"/>
  <c r="AM83" i="27"/>
  <c r="AM35" i="27"/>
  <c r="AN35" i="27" s="1"/>
  <c r="AM68" i="27"/>
  <c r="AM80" i="27"/>
  <c r="AM85" i="27"/>
  <c r="AM86" i="27"/>
  <c r="Q89" i="27"/>
  <c r="AM6" i="27"/>
  <c r="X89" i="27"/>
  <c r="X92" i="27" s="1"/>
  <c r="AM18" i="27"/>
  <c r="AN18" i="27" s="1"/>
  <c r="AK20" i="27"/>
  <c r="AM30" i="27"/>
  <c r="AN30" i="27" s="1"/>
  <c r="AM37" i="27"/>
  <c r="AN37" i="27" s="1"/>
  <c r="AM38" i="27"/>
  <c r="AN38" i="27" s="1"/>
  <c r="AM59" i="27"/>
  <c r="O89" i="27"/>
  <c r="O92" i="27" s="1"/>
  <c r="AM67" i="27"/>
  <c r="AM74" i="27"/>
  <c r="AM79" i="27"/>
  <c r="AR89" i="27"/>
  <c r="V89" i="27"/>
  <c r="V92" i="27" s="1"/>
  <c r="AK22" i="27"/>
  <c r="AM23" i="27"/>
  <c r="AN23" i="27" s="1"/>
  <c r="AK34" i="27"/>
  <c r="AK37" i="27"/>
  <c r="AK38" i="27"/>
  <c r="AM39" i="27"/>
  <c r="AN39" i="27" s="1"/>
  <c r="AM49" i="27"/>
  <c r="AM50" i="27"/>
  <c r="AM60" i="27"/>
  <c r="AM65" i="27"/>
  <c r="AM72" i="27"/>
  <c r="AM84" i="27"/>
  <c r="AM15" i="27"/>
  <c r="AM20" i="27"/>
  <c r="AN20" i="27" s="1"/>
  <c r="AK36" i="27"/>
  <c r="AM40" i="27"/>
  <c r="AN40" i="27" s="1"/>
  <c r="AM56" i="27"/>
  <c r="AC89" i="27"/>
  <c r="AC92" i="27" s="1"/>
  <c r="AM11" i="27"/>
  <c r="AK35" i="27"/>
  <c r="AK39" i="27"/>
  <c r="AM46" i="27"/>
  <c r="AM52" i="27"/>
  <c r="AK74" i="27"/>
  <c r="R89" i="27"/>
  <c r="R92" i="27" s="1"/>
  <c r="D89" i="27"/>
  <c r="U89" i="27"/>
  <c r="U92" i="27" s="1"/>
  <c r="E89" i="27"/>
  <c r="Y89" i="27"/>
  <c r="Y92" i="27" s="1"/>
  <c r="AK27" i="27"/>
  <c r="AM10" i="27"/>
  <c r="AL10" i="27"/>
  <c r="AD89" i="27"/>
  <c r="AD92" i="27" s="1"/>
  <c r="Z92" i="27"/>
  <c r="H89" i="27"/>
  <c r="AF89" i="27"/>
  <c r="AF92" i="27" s="1"/>
  <c r="AB89" i="27"/>
  <c r="AB92" i="27" s="1"/>
  <c r="J89" i="27"/>
  <c r="AG89" i="27"/>
  <c r="AG92" i="27" s="1"/>
  <c r="AM12" i="27"/>
  <c r="AM24" i="27"/>
  <c r="AN24" i="27" s="1"/>
  <c r="T89" i="27"/>
  <c r="T92" i="27" s="1"/>
  <c r="AS8" i="27"/>
  <c r="AH89" i="27"/>
  <c r="AH92" i="27" s="1"/>
  <c r="AM26" i="27"/>
  <c r="AN26" i="27" s="1"/>
  <c r="K89" i="27"/>
  <c r="AL76" i="27"/>
  <c r="AL49" i="27"/>
  <c r="AL61" i="27"/>
  <c r="AN70" i="27" l="1"/>
  <c r="AS70" i="27" s="1"/>
  <c r="AN80" i="27"/>
  <c r="AS80" i="27" s="1"/>
  <c r="AN13" i="27"/>
  <c r="AN7" i="27"/>
  <c r="AN56" i="27"/>
  <c r="AS56" i="27" s="1"/>
  <c r="AN59" i="27"/>
  <c r="AS59" i="27" s="1"/>
  <c r="AN9" i="27"/>
  <c r="AS9" i="27" s="1"/>
  <c r="AN83" i="27"/>
  <c r="AS83" i="27" s="1"/>
  <c r="AN78" i="27"/>
  <c r="AS78" i="27" s="1"/>
  <c r="AN14" i="27"/>
  <c r="AN15" i="27"/>
  <c r="AN58" i="27"/>
  <c r="AS58" i="27" s="1"/>
  <c r="AN84" i="27"/>
  <c r="AS84" i="27" s="1"/>
  <c r="AN47" i="27"/>
  <c r="AS47" i="27" s="1"/>
  <c r="AN44" i="27"/>
  <c r="AS44" i="27" s="1"/>
  <c r="H91" i="27"/>
  <c r="AN72" i="27"/>
  <c r="AS72" i="27" s="1"/>
  <c r="AN53" i="27"/>
  <c r="AS53" i="27" s="1"/>
  <c r="AN82" i="27"/>
  <c r="AS82" i="27" s="1"/>
  <c r="AN5" i="27"/>
  <c r="AN60" i="27"/>
  <c r="AS60" i="27" s="1"/>
  <c r="AN77" i="27"/>
  <c r="AS77" i="27" s="1"/>
  <c r="AN79" i="27"/>
  <c r="AS79" i="27" s="1"/>
  <c r="AN86" i="27"/>
  <c r="AS86" i="27" s="1"/>
  <c r="D92" i="27"/>
  <c r="D96" i="27"/>
  <c r="AS32" i="27"/>
  <c r="AS34" i="27"/>
  <c r="AS37" i="27"/>
  <c r="AS23" i="27"/>
  <c r="AO16" i="27"/>
  <c r="AS24" i="27"/>
  <c r="AN11" i="27"/>
  <c r="AS11" i="27" s="1"/>
  <c r="AN10" i="27"/>
  <c r="AS10" i="27" s="1"/>
  <c r="AN12" i="27"/>
  <c r="AS12" i="27" s="1"/>
  <c r="AS4" i="27"/>
  <c r="AN6" i="27"/>
  <c r="AQ6" i="27" s="1"/>
  <c r="Z10" i="19" s="1"/>
  <c r="AO50" i="27"/>
  <c r="AN50" i="27"/>
  <c r="AO63" i="27"/>
  <c r="AN63" i="27"/>
  <c r="AS63" i="27" s="1"/>
  <c r="AO73" i="27"/>
  <c r="AN73" i="27"/>
  <c r="AS73" i="27" s="1"/>
  <c r="AO14" i="27"/>
  <c r="AO27" i="27"/>
  <c r="AO62" i="27"/>
  <c r="AN62" i="27"/>
  <c r="AS62" i="27" s="1"/>
  <c r="AO69" i="27"/>
  <c r="AN69" i="27"/>
  <c r="AS69" i="27" s="1"/>
  <c r="AO61" i="27"/>
  <c r="AN61" i="27"/>
  <c r="AO64" i="27"/>
  <c r="AN64" i="27"/>
  <c r="AO57" i="27"/>
  <c r="AN57" i="27"/>
  <c r="AS57" i="27" s="1"/>
  <c r="AS16" i="27"/>
  <c r="AO74" i="27"/>
  <c r="AN74" i="27"/>
  <c r="AS74" i="27" s="1"/>
  <c r="AO66" i="27"/>
  <c r="AN66" i="27"/>
  <c r="AS66" i="27" s="1"/>
  <c r="AO54" i="27"/>
  <c r="AN54" i="27"/>
  <c r="AO33" i="27"/>
  <c r="AS33" i="27"/>
  <c r="AO20" i="27"/>
  <c r="AS20" i="27"/>
  <c r="AO67" i="27"/>
  <c r="AN67" i="27"/>
  <c r="AO48" i="27"/>
  <c r="AN48" i="27"/>
  <c r="AO42" i="27"/>
  <c r="AS42" i="27"/>
  <c r="AO21" i="27"/>
  <c r="AS21" i="27"/>
  <c r="AO39" i="27"/>
  <c r="AS39" i="27"/>
  <c r="AO52" i="27"/>
  <c r="AN52" i="27"/>
  <c r="AS52" i="27" s="1"/>
  <c r="AO15" i="27"/>
  <c r="AO85" i="27"/>
  <c r="AN85" i="27"/>
  <c r="AS85" i="27" s="1"/>
  <c r="AO31" i="27"/>
  <c r="AS31" i="27"/>
  <c r="AO19" i="27"/>
  <c r="AO26" i="27"/>
  <c r="AO46" i="27"/>
  <c r="AN46" i="27"/>
  <c r="AO76" i="27"/>
  <c r="AN76" i="27"/>
  <c r="AO25" i="27"/>
  <c r="AO9" i="27"/>
  <c r="AO40" i="27"/>
  <c r="AS40" i="27"/>
  <c r="AO38" i="27"/>
  <c r="AS38" i="27"/>
  <c r="AO68" i="27"/>
  <c r="AN68" i="27"/>
  <c r="AS68" i="27" s="1"/>
  <c r="AO36" i="27"/>
  <c r="AS36" i="27"/>
  <c r="AO41" i="27"/>
  <c r="AO43" i="27"/>
  <c r="AN43" i="27"/>
  <c r="AO81" i="27"/>
  <c r="AN81" i="27"/>
  <c r="AS81" i="27" s="1"/>
  <c r="AO7" i="27"/>
  <c r="AO87" i="27"/>
  <c r="AN87" i="27"/>
  <c r="AS87" i="27" s="1"/>
  <c r="AO49" i="27"/>
  <c r="AN49" i="27"/>
  <c r="AO65" i="27"/>
  <c r="AN65" i="27"/>
  <c r="AO35" i="27"/>
  <c r="AO28" i="27"/>
  <c r="AO55" i="27"/>
  <c r="AN55" i="27"/>
  <c r="AS55" i="27" s="1"/>
  <c r="AO30" i="27"/>
  <c r="AO29" i="27"/>
  <c r="AS29" i="27"/>
  <c r="AO22" i="27"/>
  <c r="AO45" i="27"/>
  <c r="AN45" i="27"/>
  <c r="AS45" i="27" s="1"/>
  <c r="AO75" i="27"/>
  <c r="AN75" i="27"/>
  <c r="AO18" i="27"/>
  <c r="AO71" i="27"/>
  <c r="AN71" i="27"/>
  <c r="AO17" i="27"/>
  <c r="AO13" i="27"/>
  <c r="AO5" i="27"/>
  <c r="AS5" i="27"/>
  <c r="AO51" i="27"/>
  <c r="AN51" i="27"/>
  <c r="AO44" i="27"/>
  <c r="AO79" i="27"/>
  <c r="AO84" i="27"/>
  <c r="AO86" i="27"/>
  <c r="AO58" i="27"/>
  <c r="AO83" i="27"/>
  <c r="AO77" i="27"/>
  <c r="AI89" i="27"/>
  <c r="AO53" i="27"/>
  <c r="AO56" i="27"/>
  <c r="AO47" i="27"/>
  <c r="AO80" i="27"/>
  <c r="AO59" i="27"/>
  <c r="AO78" i="27"/>
  <c r="AO32" i="27"/>
  <c r="AO72" i="27"/>
  <c r="AO6" i="27"/>
  <c r="AO34" i="27"/>
  <c r="AO37" i="27"/>
  <c r="AK89" i="27"/>
  <c r="AK92" i="27" s="1"/>
  <c r="AO11" i="27"/>
  <c r="AO60" i="27"/>
  <c r="AO82" i="27"/>
  <c r="AO70" i="27"/>
  <c r="AL89" i="27"/>
  <c r="AL92" i="27" s="1"/>
  <c r="AJ89" i="27"/>
  <c r="AO23" i="27"/>
  <c r="AO24" i="27"/>
  <c r="AQ34" i="27"/>
  <c r="Z38" i="19" s="1"/>
  <c r="AQ78" i="27"/>
  <c r="Z62" i="19" s="1"/>
  <c r="AQ80" i="27"/>
  <c r="Z64" i="19" s="1"/>
  <c r="AM89" i="27"/>
  <c r="AO4" i="27"/>
  <c r="AQ72" i="27"/>
  <c r="Z56" i="19" s="1"/>
  <c r="AO12" i="27"/>
  <c r="AQ58" i="27"/>
  <c r="AQ59" i="27"/>
  <c r="AQ84" i="27"/>
  <c r="Z68" i="19" s="1"/>
  <c r="AO8" i="27"/>
  <c r="AQ53" i="27"/>
  <c r="AQ60" i="27"/>
  <c r="AQ37" i="27"/>
  <c r="Z41" i="19" s="1"/>
  <c r="AQ44" i="27"/>
  <c r="AO10" i="27"/>
  <c r="AQ47" i="27"/>
  <c r="AQ70" i="27"/>
  <c r="Z53" i="19" s="1"/>
  <c r="AQ79" i="27"/>
  <c r="Z63" i="19" s="1"/>
  <c r="AQ77" i="27"/>
  <c r="Z61" i="19" s="1"/>
  <c r="AQ32" i="27"/>
  <c r="Z36" i="19" s="1"/>
  <c r="AQ86" i="27" l="1"/>
  <c r="Z70" i="19" s="1"/>
  <c r="AQ82" i="27"/>
  <c r="Z66" i="19" s="1"/>
  <c r="AQ56" i="27"/>
  <c r="AQ83" i="27"/>
  <c r="Z67" i="19" s="1"/>
  <c r="AS6" i="27"/>
  <c r="AQ81" i="27"/>
  <c r="Z65" i="19" s="1"/>
  <c r="AQ27" i="27"/>
  <c r="Z31" i="19" s="1"/>
  <c r="AS27" i="27"/>
  <c r="AQ22" i="27"/>
  <c r="Z26" i="19" s="1"/>
  <c r="AS22" i="27"/>
  <c r="AQ76" i="27"/>
  <c r="Z60" i="19" s="1"/>
  <c r="AS76" i="27"/>
  <c r="AQ15" i="27"/>
  <c r="Z19" i="19" s="1"/>
  <c r="AS15" i="27"/>
  <c r="AQ67" i="27"/>
  <c r="Z50" i="19" s="1"/>
  <c r="AS67" i="27"/>
  <c r="AQ41" i="27"/>
  <c r="Z45" i="19" s="1"/>
  <c r="AS41" i="27"/>
  <c r="AQ14" i="27"/>
  <c r="Z18" i="19" s="1"/>
  <c r="AS14" i="27"/>
  <c r="AQ49" i="27"/>
  <c r="AS49" i="27"/>
  <c r="AQ30" i="27"/>
  <c r="Z34" i="19" s="1"/>
  <c r="AS30" i="27"/>
  <c r="AQ46" i="27"/>
  <c r="AS46" i="27"/>
  <c r="AQ48" i="27"/>
  <c r="AS48" i="27"/>
  <c r="AQ64" i="27"/>
  <c r="Z47" i="19" s="1"/>
  <c r="AS64" i="27"/>
  <c r="AQ18" i="27"/>
  <c r="Z22" i="19" s="1"/>
  <c r="AS18" i="27"/>
  <c r="AQ7" i="27"/>
  <c r="Z11" i="19" s="1"/>
  <c r="AS7" i="27"/>
  <c r="AQ26" i="27"/>
  <c r="Z30" i="19" s="1"/>
  <c r="AS26" i="27"/>
  <c r="AQ13" i="27"/>
  <c r="Z17" i="19" s="1"/>
  <c r="AS13" i="27"/>
  <c r="AQ61" i="27"/>
  <c r="AS61" i="27"/>
  <c r="AQ25" i="27"/>
  <c r="Z29" i="19" s="1"/>
  <c r="AS25" i="27"/>
  <c r="AQ51" i="27"/>
  <c r="AS51" i="27"/>
  <c r="AQ75" i="27"/>
  <c r="Z59" i="19" s="1"/>
  <c r="AS75" i="27"/>
  <c r="AQ28" i="27"/>
  <c r="Z32" i="19" s="1"/>
  <c r="AS28" i="27"/>
  <c r="AQ19" i="27"/>
  <c r="Z23" i="19" s="1"/>
  <c r="AS19" i="27"/>
  <c r="AQ54" i="27"/>
  <c r="AS54" i="27"/>
  <c r="AQ65" i="27"/>
  <c r="Z48" i="19" s="1"/>
  <c r="AS65" i="27"/>
  <c r="AQ71" i="27"/>
  <c r="Z55" i="19" s="1"/>
  <c r="AS71" i="27"/>
  <c r="AQ50" i="27"/>
  <c r="AS50" i="27"/>
  <c r="AQ17" i="27"/>
  <c r="Z21" i="19" s="1"/>
  <c r="AS17" i="27"/>
  <c r="AQ35" i="27"/>
  <c r="Z39" i="19" s="1"/>
  <c r="AS35" i="27"/>
  <c r="AQ43" i="27"/>
  <c r="Z54" i="19" s="1"/>
  <c r="AS43" i="27"/>
  <c r="AQ87" i="27"/>
  <c r="Z71" i="19" s="1"/>
  <c r="AQ5" i="27"/>
  <c r="Z9" i="19" s="1"/>
  <c r="AQ45" i="27"/>
  <c r="AQ16" i="27"/>
  <c r="Z20" i="19" s="1"/>
  <c r="AQ29" i="27"/>
  <c r="Z33" i="19" s="1"/>
  <c r="AQ62" i="27"/>
  <c r="AQ20" i="27"/>
  <c r="Z24" i="19" s="1"/>
  <c r="AQ36" i="27"/>
  <c r="Z40" i="19" s="1"/>
  <c r="AQ42" i="27"/>
  <c r="Z46" i="19" s="1"/>
  <c r="AQ57" i="27"/>
  <c r="AQ85" i="27"/>
  <c r="Z69" i="19" s="1"/>
  <c r="AQ52" i="27"/>
  <c r="AQ55" i="27"/>
  <c r="AQ74" i="27"/>
  <c r="Z58" i="19" s="1"/>
  <c r="AQ21" i="27"/>
  <c r="Z25" i="19" s="1"/>
  <c r="AQ9" i="27"/>
  <c r="Z13" i="19" s="1"/>
  <c r="AQ33" i="27"/>
  <c r="Z37" i="19" s="1"/>
  <c r="AQ63" i="27"/>
  <c r="AQ73" i="27"/>
  <c r="Z57" i="19" s="1"/>
  <c r="AQ69" i="27"/>
  <c r="Z52" i="19" s="1"/>
  <c r="AQ66" i="27"/>
  <c r="Z49" i="19" s="1"/>
  <c r="AQ31" i="27"/>
  <c r="Z35" i="19" s="1"/>
  <c r="AQ68" i="27"/>
  <c r="Z51" i="19" s="1"/>
  <c r="AQ38" i="27"/>
  <c r="Z42" i="19" s="1"/>
  <c r="AQ23" i="27"/>
  <c r="Z27" i="19" s="1"/>
  <c r="AQ11" i="27"/>
  <c r="Z15" i="19" s="1"/>
  <c r="AQ39" i="27"/>
  <c r="Z43" i="19" s="1"/>
  <c r="AQ40" i="27"/>
  <c r="Z44" i="19" s="1"/>
  <c r="AQ12" i="27"/>
  <c r="Z16" i="19" s="1"/>
  <c r="AQ8" i="27"/>
  <c r="Z12" i="19" s="1"/>
  <c r="AN89" i="27"/>
  <c r="AQ4" i="27"/>
  <c r="Z8" i="19" s="1"/>
  <c r="Y8" i="19" s="1"/>
  <c r="AO89" i="27"/>
  <c r="AQ24" i="27"/>
  <c r="Z28" i="19" s="1"/>
  <c r="AQ10" i="27"/>
  <c r="Z14" i="19" s="1"/>
  <c r="AN92" i="27" l="1"/>
  <c r="AS89" i="27"/>
  <c r="AQ89" i="27"/>
  <c r="Y81" i="19" l="1"/>
  <c r="AU89" i="20" l="1"/>
  <c r="AU92" i="20" s="1"/>
  <c r="O93" i="20"/>
  <c r="AI73" i="26" l="1"/>
  <c r="AI46" i="26"/>
  <c r="AI45" i="26"/>
  <c r="AI44" i="26"/>
  <c r="AI43" i="26"/>
  <c r="AI42" i="26"/>
  <c r="AI41" i="26"/>
  <c r="AI40" i="26"/>
  <c r="AI39" i="26"/>
  <c r="AI38" i="26"/>
  <c r="AI37" i="26"/>
  <c r="AI36" i="26"/>
  <c r="AI35" i="26"/>
  <c r="AI34" i="26"/>
  <c r="AI33" i="26"/>
  <c r="AI32" i="26"/>
  <c r="AI31" i="26"/>
  <c r="AI30" i="26"/>
  <c r="AI29" i="26"/>
  <c r="AI28" i="26"/>
  <c r="AI27" i="26"/>
  <c r="AI26" i="26"/>
  <c r="AI25" i="26"/>
  <c r="AI24" i="26"/>
  <c r="AI23" i="26"/>
  <c r="AI22" i="26"/>
  <c r="AI21" i="26"/>
  <c r="AI20" i="26"/>
  <c r="L78" i="26" l="1"/>
  <c r="Y78" i="26" s="1"/>
  <c r="K78" i="26"/>
  <c r="Y74" i="26"/>
  <c r="AG73" i="26"/>
  <c r="AF73" i="26"/>
  <c r="AE73" i="26"/>
  <c r="AD73" i="26"/>
  <c r="AC73" i="26"/>
  <c r="AB73" i="26"/>
  <c r="T73" i="26"/>
  <c r="T77" i="26" s="1"/>
  <c r="S73" i="26"/>
  <c r="S77" i="26" s="1"/>
  <c r="P73" i="26"/>
  <c r="P77" i="26" s="1"/>
  <c r="O73" i="26"/>
  <c r="O77" i="26" s="1"/>
  <c r="J73" i="26"/>
  <c r="J77" i="26" s="1"/>
  <c r="I73" i="26"/>
  <c r="I77" i="26" s="1"/>
  <c r="G73" i="26"/>
  <c r="G77" i="26" s="1"/>
  <c r="F73" i="26"/>
  <c r="F77" i="26" s="1"/>
  <c r="D73" i="26"/>
  <c r="D77" i="26" s="1"/>
  <c r="D79" i="26" s="1"/>
  <c r="Y71" i="26"/>
  <c r="Y70" i="26"/>
  <c r="Y69" i="26"/>
  <c r="Y68" i="26"/>
  <c r="Y67" i="26"/>
  <c r="Y66" i="26"/>
  <c r="Y65" i="26"/>
  <c r="Y64" i="26"/>
  <c r="Y63" i="26"/>
  <c r="Y62" i="26"/>
  <c r="Y61" i="26"/>
  <c r="Y60" i="26"/>
  <c r="Y59" i="26"/>
  <c r="Y58" i="26"/>
  <c r="Y57" i="26"/>
  <c r="Y56" i="26"/>
  <c r="Y55" i="26"/>
  <c r="E54" i="26"/>
  <c r="Y54" i="26" s="1"/>
  <c r="Y53" i="26"/>
  <c r="Y52" i="26"/>
  <c r="Y51" i="26"/>
  <c r="Y50" i="26"/>
  <c r="Y49" i="26"/>
  <c r="Y48" i="26"/>
  <c r="Y47" i="26"/>
  <c r="K73" i="26"/>
  <c r="K77" i="26" s="1"/>
  <c r="K79" i="26" s="1"/>
  <c r="Y19" i="26"/>
  <c r="Y18" i="26"/>
  <c r="Y17" i="26"/>
  <c r="Y16" i="26"/>
  <c r="Y15" i="26"/>
  <c r="Y14" i="26"/>
  <c r="Y13" i="26"/>
  <c r="V12" i="26"/>
  <c r="Y12" i="26" s="1"/>
  <c r="U12" i="26"/>
  <c r="U73" i="26" s="1"/>
  <c r="U77" i="26" s="1"/>
  <c r="Y11" i="26"/>
  <c r="Y10" i="26"/>
  <c r="Y9" i="26"/>
  <c r="W73" i="26"/>
  <c r="W77" i="26" s="1"/>
  <c r="W79" i="26" s="1"/>
  <c r="Y8" i="26"/>
  <c r="H73" i="26" l="1"/>
  <c r="H77" i="26" s="1"/>
  <c r="Y73" i="26"/>
  <c r="Y77" i="26" s="1"/>
  <c r="Y79" i="26" s="1"/>
  <c r="V73" i="26"/>
  <c r="V77" i="26" s="1"/>
  <c r="N73" i="26" l="1"/>
  <c r="N77" i="26" s="1"/>
  <c r="M73" i="26"/>
  <c r="Y12" i="19"/>
  <c r="M77" i="26" l="1"/>
  <c r="AI41" i="19" l="1"/>
  <c r="AI39" i="19"/>
  <c r="AI37" i="19"/>
  <c r="AI35" i="19"/>
  <c r="AI33" i="19"/>
  <c r="AI31" i="19"/>
  <c r="AI29" i="19"/>
  <c r="AI27" i="19"/>
  <c r="AI25" i="19"/>
  <c r="AI23" i="19"/>
  <c r="AI21" i="19"/>
  <c r="AI45" i="19"/>
  <c r="AI43" i="19"/>
  <c r="AI20" i="19"/>
  <c r="AI46" i="19"/>
  <c r="AI44" i="19"/>
  <c r="AI42" i="19"/>
  <c r="AI40" i="19"/>
  <c r="AI38" i="19"/>
  <c r="AI36" i="19"/>
  <c r="AI34" i="19"/>
  <c r="AI32" i="19"/>
  <c r="AI30" i="19"/>
  <c r="AI28" i="19"/>
  <c r="AI26" i="19"/>
  <c r="AI24" i="19"/>
  <c r="AI22" i="19"/>
  <c r="R73" i="26" l="1"/>
  <c r="Q73" i="26"/>
  <c r="AR63" i="20"/>
  <c r="AI63" i="20"/>
  <c r="Q69" i="20"/>
  <c r="R69" i="20"/>
  <c r="Q70" i="20"/>
  <c r="R70" i="20"/>
  <c r="Q71" i="20"/>
  <c r="R71" i="20"/>
  <c r="Q72" i="20"/>
  <c r="R72" i="20"/>
  <c r="Q73" i="20"/>
  <c r="R73" i="20"/>
  <c r="Q74" i="20"/>
  <c r="R74" i="20"/>
  <c r="Q75" i="20"/>
  <c r="R75" i="20"/>
  <c r="Q76" i="20"/>
  <c r="R76" i="20"/>
  <c r="Q77" i="20"/>
  <c r="R77" i="20"/>
  <c r="Q78" i="20"/>
  <c r="R78" i="20"/>
  <c r="Q79" i="20"/>
  <c r="R79" i="20"/>
  <c r="Q80" i="20"/>
  <c r="R80" i="20"/>
  <c r="Q81" i="20"/>
  <c r="R81" i="20"/>
  <c r="Q82" i="20"/>
  <c r="R82" i="20"/>
  <c r="Q83" i="20"/>
  <c r="R83" i="20"/>
  <c r="Q84" i="20"/>
  <c r="R84" i="20"/>
  <c r="Q85" i="20"/>
  <c r="R85" i="20"/>
  <c r="Q86" i="20"/>
  <c r="R86" i="20"/>
  <c r="Q87" i="20"/>
  <c r="R87" i="20"/>
  <c r="Q65" i="20"/>
  <c r="R65" i="20"/>
  <c r="Q66" i="20"/>
  <c r="R66" i="20"/>
  <c r="Q67" i="20"/>
  <c r="R67" i="20"/>
  <c r="Q68" i="20"/>
  <c r="R68" i="20"/>
  <c r="R64" i="20"/>
  <c r="Q64" i="20"/>
  <c r="R6" i="20"/>
  <c r="R7" i="20"/>
  <c r="R8" i="20"/>
  <c r="R9" i="20"/>
  <c r="R10" i="20"/>
  <c r="R11" i="20"/>
  <c r="R12" i="20"/>
  <c r="R13" i="20"/>
  <c r="R14" i="20"/>
  <c r="R15" i="20"/>
  <c r="R4" i="20"/>
  <c r="Q6" i="20"/>
  <c r="Q7" i="20"/>
  <c r="Q8" i="20"/>
  <c r="Q9" i="20"/>
  <c r="Q10" i="20"/>
  <c r="Q11" i="20"/>
  <c r="Q12" i="20"/>
  <c r="Q13" i="20"/>
  <c r="Q14" i="20"/>
  <c r="Q15" i="20"/>
  <c r="Q4" i="20"/>
  <c r="R5" i="20"/>
  <c r="Q5" i="20"/>
  <c r="M5" i="20"/>
  <c r="L5" i="20"/>
  <c r="Q77" i="26" l="1"/>
  <c r="K82" i="26"/>
  <c r="R77" i="26"/>
  <c r="L82" i="26"/>
  <c r="AM63" i="20"/>
  <c r="AO63" i="20" s="1"/>
  <c r="AK63" i="20"/>
  <c r="AL63" i="20"/>
  <c r="AJ63" i="20"/>
  <c r="AN63" i="20" l="1"/>
  <c r="AQ63" i="20" s="1"/>
  <c r="AS63" i="20" s="1"/>
  <c r="E4" i="23" l="1"/>
  <c r="Y9" i="19"/>
  <c r="Y10" i="19"/>
  <c r="Y11" i="19"/>
  <c r="Y13" i="19"/>
  <c r="Y14" i="19"/>
  <c r="Y15" i="19"/>
  <c r="Y16" i="19"/>
  <c r="Y17" i="19"/>
  <c r="Y18" i="19"/>
  <c r="Y19" i="19"/>
  <c r="Y47" i="19"/>
  <c r="Y48" i="19"/>
  <c r="Y49" i="19"/>
  <c r="Y50" i="19"/>
  <c r="Y52" i="19"/>
  <c r="Y53" i="19"/>
  <c r="Y54" i="19"/>
  <c r="Y56" i="19"/>
  <c r="Y57" i="19"/>
  <c r="Y59" i="19"/>
  <c r="Y60" i="19"/>
  <c r="Y63" i="19"/>
  <c r="Y67" i="19"/>
  <c r="Y69" i="19"/>
  <c r="Y71" i="19"/>
  <c r="O5" i="23"/>
  <c r="O6" i="23"/>
  <c r="O7" i="23"/>
  <c r="O8" i="23"/>
  <c r="O9" i="23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24" i="23"/>
  <c r="O25" i="23"/>
  <c r="O26" i="23"/>
  <c r="O27" i="23"/>
  <c r="O28" i="23"/>
  <c r="O29" i="23"/>
  <c r="O30" i="23"/>
  <c r="O31" i="23"/>
  <c r="O4" i="23"/>
  <c r="N5" i="23"/>
  <c r="N6" i="23"/>
  <c r="N7" i="23"/>
  <c r="N8" i="23"/>
  <c r="N9" i="23"/>
  <c r="N10" i="23"/>
  <c r="N11" i="23"/>
  <c r="N12" i="23"/>
  <c r="N13" i="23"/>
  <c r="N14" i="23"/>
  <c r="N15" i="23"/>
  <c r="N16" i="23"/>
  <c r="N17" i="23"/>
  <c r="N18" i="23"/>
  <c r="N19" i="23"/>
  <c r="N20" i="23"/>
  <c r="N21" i="23"/>
  <c r="N22" i="23"/>
  <c r="N23" i="23"/>
  <c r="N24" i="23"/>
  <c r="N25" i="23"/>
  <c r="N26" i="23"/>
  <c r="N27" i="23"/>
  <c r="N28" i="23"/>
  <c r="N29" i="23"/>
  <c r="N30" i="23"/>
  <c r="N31" i="23"/>
  <c r="N4" i="23"/>
  <c r="M5" i="23"/>
  <c r="M6" i="23"/>
  <c r="M7" i="23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4" i="23"/>
  <c r="E5" i="23" l="1"/>
  <c r="E6" i="23"/>
  <c r="E7" i="23"/>
  <c r="E8" i="23"/>
  <c r="E9" i="23"/>
  <c r="E10" i="23"/>
  <c r="E11" i="23"/>
  <c r="E12" i="23"/>
  <c r="E13" i="23"/>
  <c r="E14" i="23"/>
  <c r="E15" i="23"/>
  <c r="E16" i="23"/>
  <c r="L16" i="23" s="1"/>
  <c r="E17" i="23"/>
  <c r="E18" i="23"/>
  <c r="E19" i="23"/>
  <c r="E20" i="23"/>
  <c r="E21" i="23"/>
  <c r="E22" i="23"/>
  <c r="E23" i="23"/>
  <c r="E24" i="23"/>
  <c r="E25" i="23"/>
  <c r="E26" i="23"/>
  <c r="E27" i="23"/>
  <c r="E28" i="23"/>
  <c r="L28" i="23" s="1"/>
  <c r="E29" i="23"/>
  <c r="E30" i="23"/>
  <c r="G5" i="23"/>
  <c r="G15" i="23"/>
  <c r="G17" i="23"/>
  <c r="G10" i="23"/>
  <c r="G11" i="23"/>
  <c r="K31" i="23"/>
  <c r="H43" i="25"/>
  <c r="K31" i="25"/>
  <c r="Q31" i="25" s="1"/>
  <c r="J31" i="25"/>
  <c r="H31" i="25"/>
  <c r="H39" i="25" s="1"/>
  <c r="H41" i="25" s="1"/>
  <c r="G31" i="25"/>
  <c r="E31" i="25"/>
  <c r="D31" i="25"/>
  <c r="O30" i="25"/>
  <c r="L30" i="25"/>
  <c r="Q30" i="25" s="1"/>
  <c r="U29" i="25"/>
  <c r="L29" i="25"/>
  <c r="Q29" i="25" s="1"/>
  <c r="Q28" i="25"/>
  <c r="O28" i="25"/>
  <c r="U28" i="25"/>
  <c r="L28" i="25"/>
  <c r="P28" i="25" s="1"/>
  <c r="L27" i="25"/>
  <c r="Q27" i="25" s="1"/>
  <c r="Q26" i="25"/>
  <c r="P26" i="25"/>
  <c r="U26" i="25"/>
  <c r="L26" i="25"/>
  <c r="O26" i="25" s="1"/>
  <c r="Q25" i="25"/>
  <c r="P25" i="25"/>
  <c r="O25" i="25"/>
  <c r="L25" i="25"/>
  <c r="O24" i="25"/>
  <c r="L24" i="25"/>
  <c r="Q24" i="25" s="1"/>
  <c r="U23" i="25"/>
  <c r="L23" i="25"/>
  <c r="Q23" i="25" s="1"/>
  <c r="Q22" i="25"/>
  <c r="P22" i="25"/>
  <c r="O22" i="25"/>
  <c r="U22" i="25"/>
  <c r="L22" i="25"/>
  <c r="L21" i="25"/>
  <c r="Q21" i="25" s="1"/>
  <c r="Q20" i="25"/>
  <c r="P20" i="25"/>
  <c r="L20" i="25"/>
  <c r="O20" i="25" s="1"/>
  <c r="Q19" i="25"/>
  <c r="P19" i="25"/>
  <c r="O19" i="25"/>
  <c r="L19" i="25"/>
  <c r="O18" i="25"/>
  <c r="L18" i="25"/>
  <c r="Q18" i="25" s="1"/>
  <c r="U17" i="25"/>
  <c r="L17" i="25"/>
  <c r="Q17" i="25" s="1"/>
  <c r="Q16" i="25"/>
  <c r="P16" i="25"/>
  <c r="O16" i="25"/>
  <c r="U16" i="25"/>
  <c r="L16" i="25"/>
  <c r="L15" i="25"/>
  <c r="Q15" i="25" s="1"/>
  <c r="Q14" i="25"/>
  <c r="P14" i="25"/>
  <c r="U14" i="25"/>
  <c r="L14" i="25"/>
  <c r="O14" i="25" s="1"/>
  <c r="Q13" i="25"/>
  <c r="P13" i="25"/>
  <c r="O13" i="25"/>
  <c r="L13" i="25"/>
  <c r="O12" i="25"/>
  <c r="L12" i="25"/>
  <c r="Q12" i="25" s="1"/>
  <c r="U11" i="25"/>
  <c r="L11" i="25"/>
  <c r="Q11" i="25" s="1"/>
  <c r="Q10" i="25"/>
  <c r="P10" i="25"/>
  <c r="O10" i="25"/>
  <c r="U10" i="25"/>
  <c r="L10" i="25"/>
  <c r="L9" i="25"/>
  <c r="Q9" i="25" s="1"/>
  <c r="Q8" i="25"/>
  <c r="P8" i="25"/>
  <c r="L8" i="25"/>
  <c r="O8" i="25" s="1"/>
  <c r="Q7" i="25"/>
  <c r="P7" i="25"/>
  <c r="O7" i="25"/>
  <c r="L7" i="25"/>
  <c r="O6" i="25"/>
  <c r="L6" i="25"/>
  <c r="Q6" i="25" s="1"/>
  <c r="U5" i="25"/>
  <c r="L5" i="25"/>
  <c r="P5" i="25" s="1"/>
  <c r="Q4" i="25"/>
  <c r="P4" i="25"/>
  <c r="O4" i="25"/>
  <c r="U4" i="25"/>
  <c r="L4" i="25"/>
  <c r="L31" i="25" s="1"/>
  <c r="O31" i="25" s="1"/>
  <c r="U21" i="25" l="1"/>
  <c r="L9" i="23"/>
  <c r="L27" i="23"/>
  <c r="L15" i="23"/>
  <c r="L14" i="23"/>
  <c r="L13" i="23"/>
  <c r="L21" i="23"/>
  <c r="L24" i="23"/>
  <c r="L12" i="23"/>
  <c r="L25" i="23"/>
  <c r="G27" i="23"/>
  <c r="L23" i="23"/>
  <c r="L11" i="23"/>
  <c r="L26" i="23"/>
  <c r="L22" i="23"/>
  <c r="L10" i="23"/>
  <c r="L7" i="23"/>
  <c r="L6" i="23"/>
  <c r="L20" i="23"/>
  <c r="L8" i="23"/>
  <c r="G4" i="23"/>
  <c r="L4" i="23"/>
  <c r="L19" i="23"/>
  <c r="L30" i="23"/>
  <c r="L18" i="23"/>
  <c r="L29" i="23"/>
  <c r="L17" i="23"/>
  <c r="L5" i="23"/>
  <c r="G29" i="23"/>
  <c r="J29" i="23" s="1"/>
  <c r="G25" i="23"/>
  <c r="J25" i="23" s="1"/>
  <c r="J27" i="23"/>
  <c r="J17" i="23"/>
  <c r="J15" i="23"/>
  <c r="J5" i="23"/>
  <c r="G22" i="23"/>
  <c r="G28" i="23"/>
  <c r="G16" i="23"/>
  <c r="G12" i="23"/>
  <c r="G23" i="23"/>
  <c r="J11" i="23"/>
  <c r="G24" i="23"/>
  <c r="J10" i="23"/>
  <c r="G26" i="23"/>
  <c r="G13" i="23"/>
  <c r="U27" i="25"/>
  <c r="U13" i="25"/>
  <c r="U9" i="25"/>
  <c r="U7" i="25"/>
  <c r="U25" i="25"/>
  <c r="U19" i="25"/>
  <c r="U15" i="25"/>
  <c r="G14" i="23"/>
  <c r="G21" i="23"/>
  <c r="G9" i="23"/>
  <c r="G20" i="23"/>
  <c r="G8" i="23"/>
  <c r="G7" i="23"/>
  <c r="J7" i="23" s="1"/>
  <c r="G19" i="23"/>
  <c r="J19" i="23" s="1"/>
  <c r="G30" i="23"/>
  <c r="J30" i="23" s="1"/>
  <c r="G18" i="23"/>
  <c r="G6" i="23"/>
  <c r="J4" i="23"/>
  <c r="P6" i="25"/>
  <c r="U8" i="25"/>
  <c r="P12" i="25"/>
  <c r="P18" i="25"/>
  <c r="U20" i="25"/>
  <c r="P24" i="25"/>
  <c r="P30" i="25"/>
  <c r="O5" i="25"/>
  <c r="O11" i="25"/>
  <c r="O17" i="25"/>
  <c r="O23" i="25"/>
  <c r="O29" i="25"/>
  <c r="P11" i="25"/>
  <c r="P17" i="25"/>
  <c r="P23" i="25"/>
  <c r="P29" i="25"/>
  <c r="M31" i="25"/>
  <c r="U31" i="25" s="1"/>
  <c r="U18" i="25"/>
  <c r="U24" i="25"/>
  <c r="U30" i="25"/>
  <c r="P31" i="25"/>
  <c r="Q5" i="25"/>
  <c r="U6" i="25"/>
  <c r="U12" i="25"/>
  <c r="O9" i="25"/>
  <c r="O15" i="25"/>
  <c r="O21" i="25"/>
  <c r="O27" i="25"/>
  <c r="P27" i="25"/>
  <c r="P9" i="25"/>
  <c r="P15" i="25"/>
  <c r="P21" i="25"/>
  <c r="J9" i="23" l="1"/>
  <c r="J16" i="23"/>
  <c r="J13" i="23"/>
  <c r="J28" i="23"/>
  <c r="J14" i="23"/>
  <c r="J22" i="23"/>
  <c r="J23" i="23"/>
  <c r="J21" i="23"/>
  <c r="J6" i="23"/>
  <c r="J26" i="23"/>
  <c r="J18" i="23"/>
  <c r="J12" i="23"/>
  <c r="J8" i="23"/>
  <c r="J20" i="23"/>
  <c r="J24" i="23"/>
  <c r="J31" i="23" l="1"/>
  <c r="Y78" i="24"/>
  <c r="L78" i="24"/>
  <c r="K78" i="24"/>
  <c r="W77" i="24"/>
  <c r="W79" i="24" s="1"/>
  <c r="V77" i="24"/>
  <c r="M77" i="24"/>
  <c r="K77" i="24"/>
  <c r="K79" i="24" s="1"/>
  <c r="J77" i="24"/>
  <c r="Y74" i="24"/>
  <c r="AG73" i="24"/>
  <c r="AF73" i="24"/>
  <c r="AE73" i="24"/>
  <c r="AD73" i="24"/>
  <c r="AC73" i="24"/>
  <c r="AB73" i="24"/>
  <c r="X73" i="24"/>
  <c r="X77" i="24" s="1"/>
  <c r="X79" i="24" s="1"/>
  <c r="W73" i="24"/>
  <c r="V73" i="24"/>
  <c r="U73" i="24"/>
  <c r="U77" i="24" s="1"/>
  <c r="T73" i="24"/>
  <c r="T77" i="24" s="1"/>
  <c r="S73" i="24"/>
  <c r="S77" i="24" s="1"/>
  <c r="R73" i="24"/>
  <c r="R77" i="24" s="1"/>
  <c r="Q73" i="24"/>
  <c r="Q77" i="24" s="1"/>
  <c r="P73" i="24"/>
  <c r="P77" i="24" s="1"/>
  <c r="O73" i="24"/>
  <c r="O77" i="24" s="1"/>
  <c r="N73" i="24"/>
  <c r="N77" i="24" s="1"/>
  <c r="M73" i="24"/>
  <c r="K73" i="24"/>
  <c r="J73" i="24"/>
  <c r="I73" i="24"/>
  <c r="I77" i="24" s="1"/>
  <c r="G73" i="24"/>
  <c r="F73" i="24"/>
  <c r="F77" i="24" s="1"/>
  <c r="D73" i="24"/>
  <c r="D77" i="24" s="1"/>
  <c r="D79" i="24" s="1"/>
  <c r="Y71" i="24"/>
  <c r="E70" i="24"/>
  <c r="Y69" i="24"/>
  <c r="Y68" i="24"/>
  <c r="Y67" i="24"/>
  <c r="Y66" i="24"/>
  <c r="Y65" i="24"/>
  <c r="Y64" i="24"/>
  <c r="Y63" i="24"/>
  <c r="Y62" i="24"/>
  <c r="Y61" i="24"/>
  <c r="Y60" i="24"/>
  <c r="Y59" i="24"/>
  <c r="Y58" i="24"/>
  <c r="Y57" i="24"/>
  <c r="Y56" i="24"/>
  <c r="Y55" i="24"/>
  <c r="Y54" i="24"/>
  <c r="Y53" i="24"/>
  <c r="Y52" i="24"/>
  <c r="Y51" i="24"/>
  <c r="Y50" i="24"/>
  <c r="Y49" i="24"/>
  <c r="Y48" i="24"/>
  <c r="Y47" i="24"/>
  <c r="Y46" i="24"/>
  <c r="F30" i="25"/>
  <c r="Y45" i="24"/>
  <c r="F29" i="25"/>
  <c r="Y44" i="24"/>
  <c r="F28" i="25"/>
  <c r="Y43" i="24"/>
  <c r="F27" i="25"/>
  <c r="Y42" i="24"/>
  <c r="F26" i="25"/>
  <c r="Y41" i="24"/>
  <c r="F25" i="25"/>
  <c r="Y40" i="24"/>
  <c r="F24" i="25"/>
  <c r="L39" i="24"/>
  <c r="L73" i="24" s="1"/>
  <c r="L77" i="24" s="1"/>
  <c r="L79" i="24" s="1"/>
  <c r="F23" i="25"/>
  <c r="E39" i="24"/>
  <c r="Y39" i="24" s="1"/>
  <c r="Y38" i="24"/>
  <c r="F22" i="25"/>
  <c r="Y37" i="24"/>
  <c r="F21" i="25"/>
  <c r="Y36" i="24"/>
  <c r="F20" i="25"/>
  <c r="Y35" i="24"/>
  <c r="F19" i="25"/>
  <c r="Y34" i="24"/>
  <c r="F18" i="25"/>
  <c r="Y33" i="24"/>
  <c r="F17" i="25"/>
  <c r="Y32" i="24"/>
  <c r="F16" i="25"/>
  <c r="Y31" i="24"/>
  <c r="F15" i="25"/>
  <c r="Y30" i="24"/>
  <c r="F14" i="25"/>
  <c r="Y29" i="24"/>
  <c r="F13" i="25"/>
  <c r="Y28" i="24"/>
  <c r="F12" i="25"/>
  <c r="E28" i="24"/>
  <c r="Y27" i="24"/>
  <c r="F11" i="25"/>
  <c r="Y26" i="24"/>
  <c r="F10" i="25"/>
  <c r="Y25" i="24"/>
  <c r="F9" i="25"/>
  <c r="Y24" i="24"/>
  <c r="F8" i="25"/>
  <c r="Y23" i="24"/>
  <c r="F7" i="25"/>
  <c r="Y22" i="24"/>
  <c r="F6" i="25"/>
  <c r="Y21" i="24"/>
  <c r="F5" i="25"/>
  <c r="Y20" i="24"/>
  <c r="F4" i="25"/>
  <c r="Y19" i="24"/>
  <c r="Y18" i="24"/>
  <c r="Y17" i="24"/>
  <c r="Y16" i="24"/>
  <c r="Y15" i="24"/>
  <c r="Y14" i="24"/>
  <c r="Y13" i="24"/>
  <c r="Y12" i="24"/>
  <c r="Y11" i="24"/>
  <c r="Y10" i="24"/>
  <c r="Y9" i="24"/>
  <c r="Y8" i="24"/>
  <c r="F31" i="25" l="1"/>
  <c r="S31" i="25" s="1"/>
  <c r="I4" i="25"/>
  <c r="S4" i="25"/>
  <c r="S6" i="25"/>
  <c r="I6" i="25"/>
  <c r="T6" i="25" s="1"/>
  <c r="S7" i="25"/>
  <c r="I7" i="25"/>
  <c r="T7" i="25" s="1"/>
  <c r="I30" i="25"/>
  <c r="T30" i="25" s="1"/>
  <c r="S30" i="25"/>
  <c r="I13" i="25"/>
  <c r="T13" i="25" s="1"/>
  <c r="S13" i="25"/>
  <c r="S19" i="25"/>
  <c r="I19" i="25"/>
  <c r="T19" i="25" s="1"/>
  <c r="S23" i="25"/>
  <c r="I23" i="25"/>
  <c r="T23" i="25" s="1"/>
  <c r="S24" i="25"/>
  <c r="I24" i="25"/>
  <c r="T24" i="25" s="1"/>
  <c r="S8" i="25"/>
  <c r="I8" i="25"/>
  <c r="T8" i="25" s="1"/>
  <c r="I25" i="25"/>
  <c r="T25" i="25" s="1"/>
  <c r="S25" i="25"/>
  <c r="I14" i="25"/>
  <c r="T14" i="25" s="1"/>
  <c r="S14" i="25"/>
  <c r="S20" i="25"/>
  <c r="I20" i="25"/>
  <c r="T20" i="25" s="1"/>
  <c r="S29" i="25"/>
  <c r="I29" i="25"/>
  <c r="T29" i="25" s="1"/>
  <c r="I9" i="25"/>
  <c r="T9" i="25" s="1"/>
  <c r="S9" i="25"/>
  <c r="I26" i="25"/>
  <c r="T26" i="25" s="1"/>
  <c r="S26" i="25"/>
  <c r="S15" i="25"/>
  <c r="I15" i="25"/>
  <c r="T15" i="25" s="1"/>
  <c r="S21" i="25"/>
  <c r="I21" i="25"/>
  <c r="T21" i="25" s="1"/>
  <c r="S27" i="25"/>
  <c r="I27" i="25"/>
  <c r="T27" i="25" s="1"/>
  <c r="I16" i="25"/>
  <c r="T16" i="25" s="1"/>
  <c r="S16" i="25"/>
  <c r="S22" i="25"/>
  <c r="I22" i="25"/>
  <c r="T22" i="25" s="1"/>
  <c r="I10" i="25"/>
  <c r="T10" i="25" s="1"/>
  <c r="S10" i="25"/>
  <c r="I5" i="25"/>
  <c r="T5" i="25" s="1"/>
  <c r="S5" i="25"/>
  <c r="S11" i="25"/>
  <c r="I11" i="25"/>
  <c r="T11" i="25" s="1"/>
  <c r="S28" i="25"/>
  <c r="I28" i="25"/>
  <c r="T28" i="25" s="1"/>
  <c r="S17" i="25"/>
  <c r="I17" i="25"/>
  <c r="T17" i="25" s="1"/>
  <c r="S12" i="25"/>
  <c r="I12" i="25"/>
  <c r="T12" i="25" s="1"/>
  <c r="I18" i="25"/>
  <c r="T18" i="25" s="1"/>
  <c r="S18" i="25"/>
  <c r="H82" i="24"/>
  <c r="E82" i="24" s="1"/>
  <c r="H73" i="24"/>
  <c r="H77" i="24" s="1"/>
  <c r="Y70" i="24"/>
  <c r="E73" i="24"/>
  <c r="E77" i="24" s="1"/>
  <c r="E79" i="24" s="1"/>
  <c r="G77" i="24"/>
  <c r="I31" i="25" l="1"/>
  <c r="T31" i="25" s="1"/>
  <c r="T4" i="25"/>
  <c r="Y73" i="24"/>
  <c r="Y77" i="24" s="1"/>
  <c r="Y79" i="24" s="1"/>
  <c r="I31" i="23"/>
  <c r="H31" i="23"/>
  <c r="G31" i="23"/>
  <c r="F31" i="23"/>
  <c r="E31" i="23"/>
  <c r="D31" i="23"/>
  <c r="E33" i="23" l="1"/>
  <c r="L31" i="23"/>
  <c r="R92" i="22"/>
  <c r="T91" i="22"/>
  <c r="T89" i="22"/>
  <c r="S89" i="22"/>
  <c r="S92" i="22" s="1"/>
  <c r="R89" i="22"/>
  <c r="Q89" i="22"/>
  <c r="Q92" i="22" s="1"/>
  <c r="O89" i="22"/>
  <c r="O92" i="22" s="1"/>
  <c r="N89" i="22"/>
  <c r="N92" i="22" s="1"/>
  <c r="M89" i="22"/>
  <c r="M92" i="22" s="1"/>
  <c r="L89" i="22"/>
  <c r="L92" i="22" s="1"/>
  <c r="K89" i="22"/>
  <c r="K92" i="22" s="1"/>
  <c r="J89" i="22"/>
  <c r="J92" i="22" s="1"/>
  <c r="I89" i="22"/>
  <c r="I94" i="22" s="1"/>
  <c r="H89" i="22"/>
  <c r="H92" i="22" s="1"/>
  <c r="G89" i="22"/>
  <c r="G94" i="22" s="1"/>
  <c r="F89" i="22"/>
  <c r="F92" i="22" s="1"/>
  <c r="D89" i="22"/>
  <c r="K94" i="22" s="1"/>
  <c r="AR88" i="22"/>
  <c r="AI88" i="22"/>
  <c r="AI87" i="22"/>
  <c r="AI86" i="22"/>
  <c r="AI85" i="22"/>
  <c r="AI84" i="22"/>
  <c r="AI83" i="22"/>
  <c r="AI82" i="22"/>
  <c r="AI81" i="22"/>
  <c r="AI80" i="22"/>
  <c r="AI79" i="22"/>
  <c r="AI78" i="22"/>
  <c r="AI77" i="22"/>
  <c r="AI76" i="22"/>
  <c r="AI75" i="22"/>
  <c r="AI74" i="22"/>
  <c r="AI73" i="22"/>
  <c r="AI72" i="22"/>
  <c r="AI71" i="22"/>
  <c r="AI70" i="22"/>
  <c r="AI69" i="22"/>
  <c r="AI68" i="22"/>
  <c r="AI67" i="22"/>
  <c r="AI66" i="22"/>
  <c r="AI65" i="22"/>
  <c r="AI64" i="22"/>
  <c r="AI63" i="22"/>
  <c r="AR62" i="22"/>
  <c r="AI62" i="22"/>
  <c r="AR61" i="22"/>
  <c r="AI61" i="22"/>
  <c r="AR60" i="22"/>
  <c r="AI60" i="22"/>
  <c r="AR59" i="22"/>
  <c r="AI59" i="22"/>
  <c r="AR58" i="22"/>
  <c r="AI58" i="22"/>
  <c r="AR57" i="22"/>
  <c r="AI57" i="22"/>
  <c r="AR56" i="22"/>
  <c r="AI56" i="22"/>
  <c r="AR55" i="22"/>
  <c r="AI55" i="22"/>
  <c r="AR54" i="22"/>
  <c r="AI54" i="22"/>
  <c r="AR53" i="22"/>
  <c r="AI53" i="22"/>
  <c r="AR52" i="22"/>
  <c r="AI52" i="22"/>
  <c r="AR51" i="22"/>
  <c r="AI51" i="22"/>
  <c r="AR50" i="22"/>
  <c r="AI50" i="22"/>
  <c r="AR49" i="22"/>
  <c r="AI49" i="22"/>
  <c r="AR48" i="22"/>
  <c r="AI48" i="22"/>
  <c r="AR47" i="22"/>
  <c r="AI47" i="22"/>
  <c r="AR46" i="22"/>
  <c r="AI46" i="22"/>
  <c r="AR45" i="22"/>
  <c r="AI45" i="22"/>
  <c r="AR44" i="22"/>
  <c r="AI44" i="22"/>
  <c r="AR43" i="22"/>
  <c r="AI43" i="22"/>
  <c r="AI42" i="22"/>
  <c r="AI41" i="22"/>
  <c r="AI40" i="22"/>
  <c r="AI39" i="22"/>
  <c r="AI38" i="22"/>
  <c r="AI37" i="22"/>
  <c r="AI36" i="22"/>
  <c r="AI35" i="22"/>
  <c r="D35" i="22"/>
  <c r="AI34" i="22"/>
  <c r="AI33" i="22"/>
  <c r="AI32" i="22"/>
  <c r="AI31" i="22"/>
  <c r="AI30" i="22"/>
  <c r="AI29" i="22"/>
  <c r="AI28" i="22"/>
  <c r="AI27" i="22"/>
  <c r="AI26" i="22"/>
  <c r="AI25" i="22"/>
  <c r="AI24" i="22"/>
  <c r="AI23" i="22"/>
  <c r="AI22" i="22"/>
  <c r="AI21" i="22"/>
  <c r="AI20" i="22"/>
  <c r="AI19" i="22"/>
  <c r="D19" i="22"/>
  <c r="AI18" i="22"/>
  <c r="AI17" i="22"/>
  <c r="AI16" i="22"/>
  <c r="AI15" i="22"/>
  <c r="AI14" i="22"/>
  <c r="AI13" i="22"/>
  <c r="AI12" i="22"/>
  <c r="AI11" i="22"/>
  <c r="AI10" i="22"/>
  <c r="AI9" i="22"/>
  <c r="AI8" i="22"/>
  <c r="AI7" i="22"/>
  <c r="AI6" i="22"/>
  <c r="AI5" i="22"/>
  <c r="AI4" i="22"/>
  <c r="T92" i="22" l="1"/>
  <c r="I92" i="22"/>
  <c r="AL46" i="22"/>
  <c r="AL73" i="22"/>
  <c r="AL79" i="22"/>
  <c r="AL85" i="22"/>
  <c r="AL49" i="22"/>
  <c r="AL28" i="22"/>
  <c r="AK66" i="22"/>
  <c r="AK78" i="22"/>
  <c r="AK84" i="22"/>
  <c r="AL35" i="22"/>
  <c r="AL23" i="22"/>
  <c r="AL59" i="22"/>
  <c r="AK55" i="22"/>
  <c r="AK85" i="22"/>
  <c r="AL19" i="22"/>
  <c r="AL66" i="22"/>
  <c r="AM77" i="22"/>
  <c r="AN77" i="22" s="1"/>
  <c r="AQ77" i="22" s="1"/>
  <c r="AL78" i="22"/>
  <c r="AL41" i="22"/>
  <c r="AK23" i="22"/>
  <c r="AK24" i="22"/>
  <c r="AK62" i="22"/>
  <c r="AJ71" i="22"/>
  <c r="AK77" i="22"/>
  <c r="AK83" i="22"/>
  <c r="AL67" i="22"/>
  <c r="AL77" i="22"/>
  <c r="AL83" i="22"/>
  <c r="AJ64" i="22"/>
  <c r="AJ65" i="22"/>
  <c r="AJ83" i="22"/>
  <c r="AK27" i="22"/>
  <c r="AM57" i="22"/>
  <c r="AO57" i="22" s="1"/>
  <c r="AM60" i="22"/>
  <c r="AN60" i="22" s="1"/>
  <c r="AQ60" i="22" s="1"/>
  <c r="AS60" i="22" s="1"/>
  <c r="AM63" i="22"/>
  <c r="AO63" i="22" s="1"/>
  <c r="AL64" i="22"/>
  <c r="AM76" i="22"/>
  <c r="AO76" i="22" s="1"/>
  <c r="AL82" i="22"/>
  <c r="AJ69" i="22"/>
  <c r="AK12" i="22"/>
  <c r="AJ27" i="22"/>
  <c r="AL54" i="22"/>
  <c r="AL57" i="22"/>
  <c r="AL60" i="22"/>
  <c r="AL9" i="22"/>
  <c r="AK22" i="22"/>
  <c r="AM19" i="22"/>
  <c r="AO19" i="22" s="1"/>
  <c r="AL74" i="22"/>
  <c r="AK79" i="22"/>
  <c r="AK30" i="22"/>
  <c r="AJ41" i="22"/>
  <c r="AL56" i="22"/>
  <c r="AK60" i="22"/>
  <c r="AM70" i="22"/>
  <c r="AN70" i="22" s="1"/>
  <c r="AQ70" i="22" s="1"/>
  <c r="AL71" i="22"/>
  <c r="AL18" i="22"/>
  <c r="AJ25" i="22"/>
  <c r="AL30" i="22"/>
  <c r="AM52" i="22"/>
  <c r="AO52" i="22" s="1"/>
  <c r="AK36" i="22"/>
  <c r="AK42" i="22"/>
  <c r="AK49" i="22"/>
  <c r="AK52" i="22"/>
  <c r="AL70" i="22"/>
  <c r="AJ76" i="22"/>
  <c r="AK88" i="22"/>
  <c r="AK54" i="22"/>
  <c r="AM75" i="22"/>
  <c r="AO75" i="22" s="1"/>
  <c r="AL88" i="22"/>
  <c r="AK19" i="22"/>
  <c r="AJ26" i="22"/>
  <c r="AM68" i="22"/>
  <c r="AO68" i="22" s="1"/>
  <c r="AM74" i="22"/>
  <c r="AO74" i="22" s="1"/>
  <c r="AJ75" i="22"/>
  <c r="AK81" i="22"/>
  <c r="AK16" i="22"/>
  <c r="AJ31" i="22"/>
  <c r="AM38" i="22"/>
  <c r="AO38" i="22" s="1"/>
  <c r="AM41" i="22"/>
  <c r="AO41" i="22" s="1"/>
  <c r="AM47" i="22"/>
  <c r="AO47" i="22" s="1"/>
  <c r="AK68" i="22"/>
  <c r="AJ74" i="22"/>
  <c r="AL87" i="22"/>
  <c r="Y89" i="22"/>
  <c r="Y92" i="22" s="1"/>
  <c r="AL14" i="22"/>
  <c r="AK21" i="22"/>
  <c r="AL31" i="22"/>
  <c r="AL32" i="22"/>
  <c r="AK37" i="22"/>
  <c r="AK47" i="22"/>
  <c r="AK50" i="22"/>
  <c r="AM66" i="22"/>
  <c r="AO66" i="22" s="1"/>
  <c r="AK67" i="22"/>
  <c r="AM73" i="22"/>
  <c r="AO73" i="22" s="1"/>
  <c r="AK80" i="22"/>
  <c r="AK86" i="22"/>
  <c r="AL4" i="22"/>
  <c r="AL21" i="22"/>
  <c r="AL37" i="22"/>
  <c r="AL38" i="22"/>
  <c r="AL47" i="22"/>
  <c r="AJ53" i="22"/>
  <c r="AK73" i="22"/>
  <c r="AM85" i="22"/>
  <c r="AO85" i="22" s="1"/>
  <c r="AL86" i="22"/>
  <c r="AM15" i="22"/>
  <c r="AO15" i="22" s="1"/>
  <c r="AK29" i="22"/>
  <c r="AM65" i="22"/>
  <c r="AN65" i="22" s="1"/>
  <c r="AQ65" i="22" s="1"/>
  <c r="AJ6" i="22"/>
  <c r="AL27" i="22"/>
  <c r="AM28" i="22"/>
  <c r="AO28" i="22" s="1"/>
  <c r="AK32" i="22"/>
  <c r="AM64" i="22"/>
  <c r="AO64" i="22" s="1"/>
  <c r="AK72" i="22"/>
  <c r="AM81" i="22"/>
  <c r="AN81" i="22" s="1"/>
  <c r="AQ81" i="22" s="1"/>
  <c r="AM35" i="22"/>
  <c r="AO35" i="22" s="1"/>
  <c r="AM84" i="22"/>
  <c r="AN84" i="22" s="1"/>
  <c r="AQ84" i="22" s="1"/>
  <c r="AM25" i="22"/>
  <c r="AO25" i="22" s="1"/>
  <c r="AM5" i="22"/>
  <c r="AO5" i="22" s="1"/>
  <c r="AJ7" i="22"/>
  <c r="AM10" i="22"/>
  <c r="AO10" i="22" s="1"/>
  <c r="AL12" i="22"/>
  <c r="AJ19" i="22"/>
  <c r="AM22" i="22"/>
  <c r="AO22" i="22" s="1"/>
  <c r="AJ23" i="22"/>
  <c r="AJ30" i="22"/>
  <c r="AM32" i="22"/>
  <c r="AO32" i="22" s="1"/>
  <c r="AK34" i="22"/>
  <c r="AJ35" i="22"/>
  <c r="AK38" i="22"/>
  <c r="AK40" i="22"/>
  <c r="AJ44" i="22"/>
  <c r="AM50" i="22"/>
  <c r="AO50" i="22" s="1"/>
  <c r="AM69" i="22"/>
  <c r="AN69" i="22" s="1"/>
  <c r="AQ69" i="22" s="1"/>
  <c r="AM72" i="22"/>
  <c r="AN72" i="22" s="1"/>
  <c r="AQ72" i="22" s="1"/>
  <c r="AM40" i="22"/>
  <c r="AO40" i="22" s="1"/>
  <c r="AA89" i="22"/>
  <c r="AA92" i="22" s="1"/>
  <c r="AK10" i="22"/>
  <c r="AK14" i="22"/>
  <c r="AM16" i="22"/>
  <c r="AN16" i="22" s="1"/>
  <c r="AQ16" i="22" s="1"/>
  <c r="AL25" i="22"/>
  <c r="AM30" i="22"/>
  <c r="AO30" i="22" s="1"/>
  <c r="AJ32" i="22"/>
  <c r="AL34" i="22"/>
  <c r="AM42" i="22"/>
  <c r="AN42" i="22" s="1"/>
  <c r="AQ42" i="22" s="1"/>
  <c r="AL55" i="22"/>
  <c r="AJ63" i="22"/>
  <c r="AJ77" i="22"/>
  <c r="AM79" i="22"/>
  <c r="AO79" i="22" s="1"/>
  <c r="AK87" i="22"/>
  <c r="AC89" i="22"/>
  <c r="AC92" i="22" s="1"/>
  <c r="AK7" i="22"/>
  <c r="AM8" i="22"/>
  <c r="AO8" i="22" s="1"/>
  <c r="AL10" i="22"/>
  <c r="AK15" i="22"/>
  <c r="AM17" i="22"/>
  <c r="AO17" i="22" s="1"/>
  <c r="AJ24" i="22"/>
  <c r="AM26" i="22"/>
  <c r="AO26" i="22" s="1"/>
  <c r="AK28" i="22"/>
  <c r="AM36" i="22"/>
  <c r="AO36" i="22" s="1"/>
  <c r="AK44" i="22"/>
  <c r="AM45" i="22"/>
  <c r="AO45" i="22" s="1"/>
  <c r="AJ47" i="22"/>
  <c r="AL52" i="22"/>
  <c r="AM61" i="22"/>
  <c r="AO61" i="22" s="1"/>
  <c r="AL62" i="22"/>
  <c r="AL65" i="22"/>
  <c r="AK5" i="22"/>
  <c r="AL7" i="22"/>
  <c r="AJ8" i="22"/>
  <c r="AJ10" i="22"/>
  <c r="AM13" i="22"/>
  <c r="AN13" i="22" s="1"/>
  <c r="AQ13" i="22" s="1"/>
  <c r="AL44" i="22"/>
  <c r="AJ45" i="22"/>
  <c r="AM48" i="22"/>
  <c r="AN48" i="22" s="1"/>
  <c r="AQ48" i="22" s="1"/>
  <c r="AS48" i="22" s="1"/>
  <c r="AJ52" i="22"/>
  <c r="AM55" i="22"/>
  <c r="AN55" i="22" s="1"/>
  <c r="AQ55" i="22" s="1"/>
  <c r="AS55" i="22" s="1"/>
  <c r="AJ55" i="22"/>
  <c r="AK57" i="22"/>
  <c r="AM58" i="22"/>
  <c r="AO58" i="22" s="1"/>
  <c r="AM67" i="22"/>
  <c r="AO67" i="22" s="1"/>
  <c r="AK75" i="22"/>
  <c r="AL80" i="22"/>
  <c r="AK82" i="22"/>
  <c r="AE89" i="22"/>
  <c r="AE92" i="22" s="1"/>
  <c r="AL8" i="22"/>
  <c r="AK13" i="22"/>
  <c r="AB89" i="22"/>
  <c r="AB92" i="22" s="1"/>
  <c r="AM20" i="22"/>
  <c r="AN20" i="22" s="1"/>
  <c r="AQ20" i="22" s="1"/>
  <c r="AL22" i="22"/>
  <c r="AL26" i="22"/>
  <c r="AK43" i="22"/>
  <c r="AL45" i="22"/>
  <c r="AK48" i="22"/>
  <c r="AM51" i="22"/>
  <c r="AN51" i="22" s="1"/>
  <c r="AQ51" i="22" s="1"/>
  <c r="AS51" i="22" s="1"/>
  <c r="AM53" i="22"/>
  <c r="AN53" i="22" s="1"/>
  <c r="AQ53" i="22" s="1"/>
  <c r="AS53" i="22" s="1"/>
  <c r="AK58" i="22"/>
  <c r="AJ78" i="22"/>
  <c r="AF89" i="22"/>
  <c r="AF92" i="22" s="1"/>
  <c r="AM11" i="22"/>
  <c r="AO11" i="22" s="1"/>
  <c r="AJ17" i="22"/>
  <c r="AK18" i="22"/>
  <c r="AK20" i="22"/>
  <c r="AM37" i="22"/>
  <c r="AO37" i="22" s="1"/>
  <c r="AM39" i="22"/>
  <c r="AO39" i="22" s="1"/>
  <c r="AL40" i="22"/>
  <c r="AK41" i="22"/>
  <c r="AL48" i="22"/>
  <c r="AM56" i="22"/>
  <c r="AN56" i="22" s="1"/>
  <c r="AQ56" i="22" s="1"/>
  <c r="AS56" i="22" s="1"/>
  <c r="AL58" i="22"/>
  <c r="AK61" i="22"/>
  <c r="AK63" i="22"/>
  <c r="AK65" i="22"/>
  <c r="AL68" i="22"/>
  <c r="AK70" i="22"/>
  <c r="AK74" i="22"/>
  <c r="AJ85" i="22"/>
  <c r="U89" i="22"/>
  <c r="U92" i="22" s="1"/>
  <c r="AG89" i="22"/>
  <c r="AG92" i="22" s="1"/>
  <c r="AK11" i="22"/>
  <c r="AL20" i="22"/>
  <c r="AM29" i="22"/>
  <c r="AN29" i="22" s="1"/>
  <c r="AQ29" i="22" s="1"/>
  <c r="AK31" i="22"/>
  <c r="AM33" i="22"/>
  <c r="AO33" i="22" s="1"/>
  <c r="AK35" i="22"/>
  <c r="AK39" i="22"/>
  <c r="AM49" i="22"/>
  <c r="AO49" i="22" s="1"/>
  <c r="AL50" i="22"/>
  <c r="AL51" i="22"/>
  <c r="AK56" i="22"/>
  <c r="AL61" i="22"/>
  <c r="AJ66" i="22"/>
  <c r="AL75" i="22"/>
  <c r="AJ57" i="22"/>
  <c r="AD89" i="22"/>
  <c r="AD92" i="22" s="1"/>
  <c r="V89" i="22"/>
  <c r="V92" i="22" s="1"/>
  <c r="AH89" i="22"/>
  <c r="AH92" i="22" s="1"/>
  <c r="AM6" i="22"/>
  <c r="AO6" i="22" s="1"/>
  <c r="AK8" i="22"/>
  <c r="AM9" i="22"/>
  <c r="AN9" i="22" s="1"/>
  <c r="AQ9" i="22" s="1"/>
  <c r="AL11" i="22"/>
  <c r="AL15" i="22"/>
  <c r="AM23" i="22"/>
  <c r="AN23" i="22" s="1"/>
  <c r="AQ23" i="22" s="1"/>
  <c r="AL24" i="22"/>
  <c r="AK26" i="22"/>
  <c r="AK33" i="22"/>
  <c r="AL39" i="22"/>
  <c r="AM43" i="22"/>
  <c r="AO43" i="22" s="1"/>
  <c r="AJ43" i="22"/>
  <c r="AK45" i="22"/>
  <c r="AM46" i="22"/>
  <c r="AN46" i="22" s="1"/>
  <c r="AQ46" i="22" s="1"/>
  <c r="AS46" i="22" s="1"/>
  <c r="AK53" i="22"/>
  <c r="AM54" i="22"/>
  <c r="AN54" i="22" s="1"/>
  <c r="AQ54" i="22" s="1"/>
  <c r="AS54" i="22" s="1"/>
  <c r="AM59" i="22"/>
  <c r="AO59" i="22" s="1"/>
  <c r="AK71" i="22"/>
  <c r="AJ73" i="22"/>
  <c r="AL76" i="22"/>
  <c r="AM83" i="22"/>
  <c r="AO83" i="22" s="1"/>
  <c r="AM88" i="22"/>
  <c r="AO88" i="22" s="1"/>
  <c r="AK6" i="22"/>
  <c r="W89" i="22"/>
  <c r="W92" i="22" s="1"/>
  <c r="AI89" i="22"/>
  <c r="AI92" i="22" s="1"/>
  <c r="AJ9" i="22"/>
  <c r="AM12" i="22"/>
  <c r="AO12" i="22" s="1"/>
  <c r="AM14" i="22"/>
  <c r="AO14" i="22" s="1"/>
  <c r="AJ15" i="22"/>
  <c r="AJ16" i="22"/>
  <c r="AM18" i="22"/>
  <c r="AN18" i="22" s="1"/>
  <c r="AQ18" i="22" s="1"/>
  <c r="AJ18" i="22"/>
  <c r="AK25" i="22"/>
  <c r="AM27" i="22"/>
  <c r="AO27" i="22" s="1"/>
  <c r="AL29" i="22"/>
  <c r="AL33" i="22"/>
  <c r="AJ37" i="22"/>
  <c r="AK46" i="22"/>
  <c r="AL53" i="22"/>
  <c r="AJ56" i="22"/>
  <c r="AK59" i="22"/>
  <c r="AM62" i="22"/>
  <c r="AO62" i="22" s="1"/>
  <c r="AL63" i="22"/>
  <c r="AK69" i="22"/>
  <c r="AM82" i="22"/>
  <c r="AO82" i="22" s="1"/>
  <c r="AM86" i="22"/>
  <c r="AO86" i="22" s="1"/>
  <c r="AM87" i="22"/>
  <c r="AO87" i="22" s="1"/>
  <c r="X89" i="22"/>
  <c r="X92" i="22" s="1"/>
  <c r="AL6" i="22"/>
  <c r="AM7" i="22"/>
  <c r="AO7" i="22" s="1"/>
  <c r="AL13" i="22"/>
  <c r="AJ14" i="22"/>
  <c r="AM21" i="22"/>
  <c r="AO21" i="22" s="1"/>
  <c r="AM31" i="22"/>
  <c r="AO31" i="22" s="1"/>
  <c r="AJ33" i="22"/>
  <c r="AM34" i="22"/>
  <c r="AO34" i="22" s="1"/>
  <c r="AL43" i="22"/>
  <c r="AM44" i="22"/>
  <c r="AO44" i="22" s="1"/>
  <c r="AK51" i="22"/>
  <c r="AM71" i="22"/>
  <c r="AN71" i="22" s="1"/>
  <c r="AQ71" i="22" s="1"/>
  <c r="AM78" i="22"/>
  <c r="AO78" i="22" s="1"/>
  <c r="AM80" i="22"/>
  <c r="AN80" i="22" s="1"/>
  <c r="AQ80" i="22" s="1"/>
  <c r="AJ81" i="22"/>
  <c r="AJ86" i="22"/>
  <c r="AJ87" i="22"/>
  <c r="AO51" i="22"/>
  <c r="AO77" i="22"/>
  <c r="AJ4" i="22"/>
  <c r="AK64" i="22"/>
  <c r="AL69" i="22"/>
  <c r="AK76" i="22"/>
  <c r="AL81" i="22"/>
  <c r="Z89" i="22"/>
  <c r="Z92" i="22" s="1"/>
  <c r="AL16" i="22"/>
  <c r="AK17" i="22"/>
  <c r="AK4" i="22"/>
  <c r="AJ5" i="22"/>
  <c r="AJ36" i="22"/>
  <c r="AJ42" i="22"/>
  <c r="AJ54" i="22"/>
  <c r="P89" i="22"/>
  <c r="P92" i="22" s="1"/>
  <c r="AM4" i="22"/>
  <c r="AL5" i="22"/>
  <c r="AL17" i="22"/>
  <c r="AM24" i="22"/>
  <c r="AL36" i="22"/>
  <c r="AL42" i="22"/>
  <c r="AJ68" i="22"/>
  <c r="AJ80" i="22"/>
  <c r="G92" i="22"/>
  <c r="AJ20" i="22"/>
  <c r="AJ38" i="22"/>
  <c r="AJ46" i="22"/>
  <c r="AJ58" i="22"/>
  <c r="AJ70" i="22"/>
  <c r="AJ82" i="22"/>
  <c r="AJ88" i="22"/>
  <c r="AK9" i="22"/>
  <c r="AJ21" i="22"/>
  <c r="AJ59" i="22"/>
  <c r="AJ11" i="22"/>
  <c r="AJ39" i="22"/>
  <c r="AJ48" i="22"/>
  <c r="AJ60" i="22"/>
  <c r="AJ72" i="22"/>
  <c r="AJ84" i="22"/>
  <c r="AJ12" i="22"/>
  <c r="AJ22" i="22"/>
  <c r="AJ28" i="22"/>
  <c r="AJ34" i="22"/>
  <c r="AJ49" i="22"/>
  <c r="AJ61" i="22"/>
  <c r="AJ67" i="22"/>
  <c r="AJ79" i="22"/>
  <c r="AJ13" i="22"/>
  <c r="AJ40" i="22"/>
  <c r="AJ50" i="22"/>
  <c r="AJ62" i="22"/>
  <c r="AL72" i="22"/>
  <c r="AL84" i="22"/>
  <c r="AJ29" i="22"/>
  <c r="AJ51" i="22"/>
  <c r="AN63" i="22" l="1"/>
  <c r="AQ63" i="22" s="1"/>
  <c r="AO70" i="22"/>
  <c r="AO72" i="22"/>
  <c r="AN75" i="22"/>
  <c r="AQ75" i="22" s="1"/>
  <c r="AN85" i="22"/>
  <c r="AQ85" i="22" s="1"/>
  <c r="AN64" i="22"/>
  <c r="AQ64" i="22" s="1"/>
  <c r="AO23" i="22"/>
  <c r="AO81" i="22"/>
  <c r="AN57" i="22"/>
  <c r="AQ57" i="22" s="1"/>
  <c r="AS57" i="22" s="1"/>
  <c r="AN66" i="22"/>
  <c r="AQ66" i="22" s="1"/>
  <c r="AN47" i="22"/>
  <c r="AQ47" i="22" s="1"/>
  <c r="AS47" i="22" s="1"/>
  <c r="AN79" i="22"/>
  <c r="AQ79" i="22" s="1"/>
  <c r="AO60" i="22"/>
  <c r="AO84" i="22"/>
  <c r="AO20" i="22"/>
  <c r="AO55" i="22"/>
  <c r="AN30" i="22"/>
  <c r="AQ30" i="22" s="1"/>
  <c r="AN76" i="22"/>
  <c r="AQ76" i="22" s="1"/>
  <c r="AN74" i="22"/>
  <c r="AQ74" i="22" s="1"/>
  <c r="AN10" i="22"/>
  <c r="AQ10" i="22" s="1"/>
  <c r="AO54" i="22"/>
  <c r="AN14" i="22"/>
  <c r="AQ14" i="22" s="1"/>
  <c r="AN49" i="22"/>
  <c r="AQ49" i="22" s="1"/>
  <c r="AS49" i="22" s="1"/>
  <c r="AO56" i="22"/>
  <c r="AN45" i="22"/>
  <c r="AQ45" i="22" s="1"/>
  <c r="AS45" i="22" s="1"/>
  <c r="AO46" i="22"/>
  <c r="AN52" i="22"/>
  <c r="AQ52" i="22" s="1"/>
  <c r="AS52" i="22" s="1"/>
  <c r="AO9" i="22"/>
  <c r="AO80" i="22"/>
  <c r="AN7" i="22"/>
  <c r="AQ7" i="22" s="1"/>
  <c r="AN62" i="22"/>
  <c r="AQ62" i="22" s="1"/>
  <c r="AS62" i="22" s="1"/>
  <c r="AN58" i="22"/>
  <c r="AQ58" i="22" s="1"/>
  <c r="AS58" i="22" s="1"/>
  <c r="AN15" i="22"/>
  <c r="AQ15" i="22" s="1"/>
  <c r="AO53" i="22"/>
  <c r="AN73" i="22"/>
  <c r="AQ73" i="22" s="1"/>
  <c r="AN19" i="22"/>
  <c r="AQ19" i="22" s="1"/>
  <c r="AO65" i="22"/>
  <c r="AN12" i="22"/>
  <c r="AQ12" i="22" s="1"/>
  <c r="AN21" i="22"/>
  <c r="AQ21" i="22" s="1"/>
  <c r="AN41" i="22"/>
  <c r="AQ41" i="22" s="1"/>
  <c r="AN88" i="22"/>
  <c r="AQ88" i="22" s="1"/>
  <c r="AS88" i="22" s="1"/>
  <c r="AN68" i="22"/>
  <c r="AQ68" i="22" s="1"/>
  <c r="AN61" i="22"/>
  <c r="AQ61" i="22" s="1"/>
  <c r="AS61" i="22" s="1"/>
  <c r="AN83" i="22"/>
  <c r="AQ83" i="22" s="1"/>
  <c r="AN59" i="22"/>
  <c r="AQ59" i="22" s="1"/>
  <c r="AS59" i="22" s="1"/>
  <c r="AN5" i="22"/>
  <c r="AQ5" i="22" s="1"/>
  <c r="AN87" i="22"/>
  <c r="AQ87" i="22" s="1"/>
  <c r="AN8" i="22"/>
  <c r="AQ8" i="22" s="1"/>
  <c r="AO48" i="22"/>
  <c r="AN86" i="22"/>
  <c r="AQ86" i="22" s="1"/>
  <c r="AO42" i="22"/>
  <c r="AN50" i="22"/>
  <c r="AQ50" i="22" s="1"/>
  <c r="AS50" i="22" s="1"/>
  <c r="AN43" i="22"/>
  <c r="AQ43" i="22" s="1"/>
  <c r="AS43" i="22" s="1"/>
  <c r="AN11" i="22"/>
  <c r="AQ11" i="22" s="1"/>
  <c r="AN17" i="22"/>
  <c r="AQ17" i="22" s="1"/>
  <c r="AO69" i="22"/>
  <c r="AO71" i="22"/>
  <c r="AN44" i="22"/>
  <c r="AQ44" i="22" s="1"/>
  <c r="AS44" i="22" s="1"/>
  <c r="AN39" i="22"/>
  <c r="AQ39" i="22" s="1"/>
  <c r="AO18" i="22"/>
  <c r="AL89" i="22"/>
  <c r="AL92" i="22" s="1"/>
  <c r="AO13" i="22"/>
  <c r="AO16" i="22"/>
  <c r="AH94" i="22"/>
  <c r="AH96" i="22" s="1"/>
  <c r="AN6" i="22"/>
  <c r="AQ6" i="22" s="1"/>
  <c r="AN82" i="22"/>
  <c r="AQ82" i="22" s="1"/>
  <c r="AN78" i="22"/>
  <c r="AQ78" i="22" s="1"/>
  <c r="AO29" i="22"/>
  <c r="AN67" i="22"/>
  <c r="AQ67" i="22" s="1"/>
  <c r="AK89" i="22"/>
  <c r="AK92" i="22" s="1"/>
  <c r="AO4" i="22"/>
  <c r="AN4" i="22"/>
  <c r="AM89" i="22"/>
  <c r="AM92" i="22" s="1"/>
  <c r="AJ89" i="22"/>
  <c r="AJ92" i="22" s="1"/>
  <c r="AO24" i="22"/>
  <c r="AQ4" i="22" l="1"/>
  <c r="AO89" i="22"/>
  <c r="AO92" i="22" s="1"/>
  <c r="AI77" i="20"/>
  <c r="Y51" i="19"/>
  <c r="Y55" i="19"/>
  <c r="Y58" i="19"/>
  <c r="Y61" i="19"/>
  <c r="Y62" i="19"/>
  <c r="Y64" i="19"/>
  <c r="Y65" i="19"/>
  <c r="Y66" i="19"/>
  <c r="Y68" i="19"/>
  <c r="AE73" i="19" l="1"/>
  <c r="AD73" i="19"/>
  <c r="AC73" i="19"/>
  <c r="AB73" i="19"/>
  <c r="AG73" i="19"/>
  <c r="AF73" i="19"/>
  <c r="AR43" i="20" l="1"/>
  <c r="AR44" i="20"/>
  <c r="AR45" i="20"/>
  <c r="AR46" i="20"/>
  <c r="AR47" i="20"/>
  <c r="AR48" i="20"/>
  <c r="AR49" i="20"/>
  <c r="AR50" i="20"/>
  <c r="AR51" i="20"/>
  <c r="AR52" i="20"/>
  <c r="AR53" i="20"/>
  <c r="AR54" i="20"/>
  <c r="AR55" i="20"/>
  <c r="AR56" i="20"/>
  <c r="AR57" i="20"/>
  <c r="AR58" i="20"/>
  <c r="AR59" i="20"/>
  <c r="AR60" i="20"/>
  <c r="AR61" i="20"/>
  <c r="AR62" i="20"/>
  <c r="T89" i="20" l="1"/>
  <c r="S89" i="20"/>
  <c r="S92" i="20" s="1"/>
  <c r="O89" i="20"/>
  <c r="AI87" i="20"/>
  <c r="AI86" i="20"/>
  <c r="AI85" i="20"/>
  <c r="AI84" i="20"/>
  <c r="AI83" i="20"/>
  <c r="AI82" i="20"/>
  <c r="AI81" i="20"/>
  <c r="AI80" i="20"/>
  <c r="AI79" i="20"/>
  <c r="AI78" i="20"/>
  <c r="AI76" i="20"/>
  <c r="AI75" i="20"/>
  <c r="AI74" i="20"/>
  <c r="AI73" i="20"/>
  <c r="AI71" i="20"/>
  <c r="AI70" i="20"/>
  <c r="AI69" i="20"/>
  <c r="AI68" i="20"/>
  <c r="AI67" i="20"/>
  <c r="AI66" i="20"/>
  <c r="AI65" i="20"/>
  <c r="AI64" i="20"/>
  <c r="AI62" i="20"/>
  <c r="AI61" i="20"/>
  <c r="AI60" i="20"/>
  <c r="AI59" i="20"/>
  <c r="AI58" i="20"/>
  <c r="AI57" i="20"/>
  <c r="AI56" i="20"/>
  <c r="AI55" i="20"/>
  <c r="AI54" i="20"/>
  <c r="AI53" i="20"/>
  <c r="AI52" i="20"/>
  <c r="AI51" i="20"/>
  <c r="AI50" i="20"/>
  <c r="AI49" i="20"/>
  <c r="AI48" i="20"/>
  <c r="AI47" i="20"/>
  <c r="AI46" i="20"/>
  <c r="AI45" i="20"/>
  <c r="AI44" i="20"/>
  <c r="AI43" i="20"/>
  <c r="AI42" i="20"/>
  <c r="AI41" i="20"/>
  <c r="AI40" i="20"/>
  <c r="AI39" i="20"/>
  <c r="AI38" i="20"/>
  <c r="AI37" i="20"/>
  <c r="AI36" i="20"/>
  <c r="AI35" i="20"/>
  <c r="AI34" i="20"/>
  <c r="AI33" i="20"/>
  <c r="AI32" i="20"/>
  <c r="AI31" i="20"/>
  <c r="AI30" i="20"/>
  <c r="AI29" i="20"/>
  <c r="AI28" i="20"/>
  <c r="AI27" i="20"/>
  <c r="AI26" i="20"/>
  <c r="AI25" i="20"/>
  <c r="AI24" i="20"/>
  <c r="AI23" i="20"/>
  <c r="AI22" i="20"/>
  <c r="AI21" i="20"/>
  <c r="AI20" i="20"/>
  <c r="AI19" i="20"/>
  <c r="AI18" i="20"/>
  <c r="AI17" i="20"/>
  <c r="AI16" i="20"/>
  <c r="AI15" i="20"/>
  <c r="AI14" i="20"/>
  <c r="AI13" i="20"/>
  <c r="AI12" i="20"/>
  <c r="AI11" i="20"/>
  <c r="AI10" i="20"/>
  <c r="AI9" i="20"/>
  <c r="AI8" i="20"/>
  <c r="AI7" i="20"/>
  <c r="AI6" i="20"/>
  <c r="AI5" i="20"/>
  <c r="AI4" i="20"/>
  <c r="AM16" i="20" l="1"/>
  <c r="AM5" i="20"/>
  <c r="AO5" i="20" s="1"/>
  <c r="AL16" i="20"/>
  <c r="AL21" i="20"/>
  <c r="AM21" i="20"/>
  <c r="T92" i="20"/>
  <c r="AM19" i="20"/>
  <c r="AM35" i="20"/>
  <c r="AM77" i="20"/>
  <c r="AO77" i="20" s="1"/>
  <c r="AM86" i="20"/>
  <c r="AI72" i="20"/>
  <c r="AI89" i="20" s="1"/>
  <c r="L89" i="20"/>
  <c r="L92" i="20" s="1"/>
  <c r="O92" i="20"/>
  <c r="AK55" i="20"/>
  <c r="AL77" i="20"/>
  <c r="AL78" i="20"/>
  <c r="AK79" i="20"/>
  <c r="AK81" i="20"/>
  <c r="AJ87" i="20"/>
  <c r="AL11" i="20"/>
  <c r="AM47" i="20"/>
  <c r="AO47" i="20" s="1"/>
  <c r="AK28" i="20"/>
  <c r="AL24" i="20"/>
  <c r="AL42" i="20"/>
  <c r="AM53" i="20"/>
  <c r="AO53" i="20" s="1"/>
  <c r="AK23" i="20"/>
  <c r="AK44" i="20"/>
  <c r="AK8" i="20"/>
  <c r="AL87" i="20"/>
  <c r="AJ44" i="20"/>
  <c r="AK76" i="20"/>
  <c r="AL7" i="20"/>
  <c r="AJ33" i="20"/>
  <c r="AK72" i="20"/>
  <c r="AK71" i="20"/>
  <c r="AL80" i="20"/>
  <c r="AL82" i="20"/>
  <c r="AL83" i="20"/>
  <c r="AL84" i="20"/>
  <c r="AJ14" i="20"/>
  <c r="AK64" i="20"/>
  <c r="AK65" i="20"/>
  <c r="AK66" i="20"/>
  <c r="AL37" i="20"/>
  <c r="AK31" i="20"/>
  <c r="AJ55" i="20"/>
  <c r="AM15" i="20"/>
  <c r="AN15" i="20" s="1"/>
  <c r="AL48" i="20"/>
  <c r="AM13" i="20"/>
  <c r="AN13" i="20" s="1"/>
  <c r="AK14" i="20"/>
  <c r="AM18" i="20"/>
  <c r="AO18" i="20" s="1"/>
  <c r="AJ21" i="20"/>
  <c r="AM59" i="20"/>
  <c r="AO59" i="20" s="1"/>
  <c r="AM31" i="20"/>
  <c r="AO31" i="20" s="1"/>
  <c r="AL70" i="20"/>
  <c r="AJ72" i="20"/>
  <c r="AK87" i="20"/>
  <c r="AK26" i="20"/>
  <c r="AK36" i="20"/>
  <c r="AL47" i="20"/>
  <c r="AM49" i="20"/>
  <c r="AN49" i="20" s="1"/>
  <c r="AQ49" i="20" s="1"/>
  <c r="AS49" i="20" s="1"/>
  <c r="AL71" i="20"/>
  <c r="AM74" i="20"/>
  <c r="AO74" i="20" s="1"/>
  <c r="AK84" i="20"/>
  <c r="AL36" i="20"/>
  <c r="AK7" i="20"/>
  <c r="AL34" i="20"/>
  <c r="AJ46" i="20"/>
  <c r="AM20" i="20"/>
  <c r="AO20" i="20" s="1"/>
  <c r="AJ28" i="20"/>
  <c r="AL29" i="20"/>
  <c r="AK38" i="20"/>
  <c r="AK57" i="20"/>
  <c r="AK11" i="20"/>
  <c r="AL38" i="20"/>
  <c r="AJ56" i="20"/>
  <c r="AL73" i="20"/>
  <c r="AL74" i="20"/>
  <c r="AK75" i="20"/>
  <c r="AM82" i="20"/>
  <c r="AO82" i="20" s="1"/>
  <c r="AJ51" i="20"/>
  <c r="AM69" i="20"/>
  <c r="AO69" i="20" s="1"/>
  <c r="AJ81" i="20"/>
  <c r="AK33" i="20"/>
  <c r="AK58" i="20"/>
  <c r="AJ68" i="20"/>
  <c r="AL76" i="20"/>
  <c r="AK77" i="20"/>
  <c r="AK78" i="20"/>
  <c r="AJ83" i="20"/>
  <c r="AK6" i="20"/>
  <c r="AM52" i="20"/>
  <c r="AO52" i="20" s="1"/>
  <c r="AL53" i="20"/>
  <c r="AM57" i="20"/>
  <c r="AN57" i="20" s="1"/>
  <c r="AL58" i="20"/>
  <c r="AM67" i="20"/>
  <c r="AO67" i="20" s="1"/>
  <c r="AJ76" i="20"/>
  <c r="AJ85" i="20"/>
  <c r="AM24" i="20"/>
  <c r="AO24" i="20" s="1"/>
  <c r="AJ40" i="20"/>
  <c r="AJ19" i="20"/>
  <c r="AJ27" i="20"/>
  <c r="AL56" i="20"/>
  <c r="AJ71" i="20"/>
  <c r="AK73" i="20"/>
  <c r="AH89" i="20"/>
  <c r="AH92" i="20" s="1"/>
  <c r="AK10" i="20"/>
  <c r="AJ11" i="20"/>
  <c r="AK15" i="20"/>
  <c r="AJ26" i="20"/>
  <c r="AK27" i="20"/>
  <c r="AL28" i="20"/>
  <c r="AM37" i="20"/>
  <c r="AO37" i="20" s="1"/>
  <c r="AJ39" i="20"/>
  <c r="AK41" i="20"/>
  <c r="AM42" i="20"/>
  <c r="AM50" i="20"/>
  <c r="AN50" i="20" s="1"/>
  <c r="AK51" i="20"/>
  <c r="AL54" i="20"/>
  <c r="AM58" i="20"/>
  <c r="AO58" i="20" s="1"/>
  <c r="AM61" i="20"/>
  <c r="AN61" i="20" s="1"/>
  <c r="AL72" i="20"/>
  <c r="AM76" i="20"/>
  <c r="AO76" i="20" s="1"/>
  <c r="AJ77" i="20"/>
  <c r="AK5" i="20"/>
  <c r="AJ6" i="20"/>
  <c r="AL9" i="20"/>
  <c r="AL15" i="20"/>
  <c r="AJ22" i="20"/>
  <c r="AM36" i="20"/>
  <c r="AO36" i="20" s="1"/>
  <c r="AK40" i="20"/>
  <c r="AL41" i="20"/>
  <c r="AK62" i="20"/>
  <c r="AJ64" i="20"/>
  <c r="AJ65" i="20"/>
  <c r="AJ66" i="20"/>
  <c r="AJ79" i="20"/>
  <c r="AJ86" i="20"/>
  <c r="AM87" i="20"/>
  <c r="AO87" i="20" s="1"/>
  <c r="AJ9" i="20"/>
  <c r="AJ13" i="20"/>
  <c r="AJ38" i="20"/>
  <c r="AK39" i="20"/>
  <c r="AL40" i="20"/>
  <c r="AJ43" i="20"/>
  <c r="AM55" i="20"/>
  <c r="AO55" i="20" s="1"/>
  <c r="AK56" i="20"/>
  <c r="AK59" i="20"/>
  <c r="AL62" i="20"/>
  <c r="AM64" i="20"/>
  <c r="AO64" i="20" s="1"/>
  <c r="AJ67" i="20"/>
  <c r="AJ75" i="20"/>
  <c r="AJ80" i="20"/>
  <c r="N89" i="20"/>
  <c r="N92" i="20" s="1"/>
  <c r="X89" i="20"/>
  <c r="J89" i="20"/>
  <c r="J92" i="20" s="1"/>
  <c r="AM43" i="20"/>
  <c r="AO43" i="20" s="1"/>
  <c r="Y89" i="20"/>
  <c r="Y92" i="20" s="1"/>
  <c r="AL6" i="20"/>
  <c r="AJ8" i="20"/>
  <c r="AK9" i="20"/>
  <c r="AK13" i="20"/>
  <c r="AL14" i="20"/>
  <c r="AM17" i="20"/>
  <c r="AO17" i="20" s="1"/>
  <c r="AL20" i="20"/>
  <c r="AK35" i="20"/>
  <c r="AK43" i="20"/>
  <c r="AL44" i="20"/>
  <c r="AM45" i="20"/>
  <c r="AK46" i="20"/>
  <c r="AK52" i="20"/>
  <c r="AJ57" i="20"/>
  <c r="AJ58" i="20"/>
  <c r="AJ60" i="20"/>
  <c r="AL64" i="20"/>
  <c r="AL65" i="20"/>
  <c r="AL66" i="20"/>
  <c r="AK67" i="20"/>
  <c r="AM72" i="20"/>
  <c r="AO72" i="20" s="1"/>
  <c r="AM79" i="20"/>
  <c r="AO79" i="20" s="1"/>
  <c r="AK80" i="20"/>
  <c r="AJ82" i="20"/>
  <c r="AL86" i="20"/>
  <c r="AL18" i="20"/>
  <c r="AO21" i="20"/>
  <c r="AK22" i="20"/>
  <c r="AL23" i="20"/>
  <c r="AM29" i="20"/>
  <c r="AO29" i="20" s="1"/>
  <c r="AJ34" i="20"/>
  <c r="AL46" i="20"/>
  <c r="AK47" i="20"/>
  <c r="AK50" i="20"/>
  <c r="AJ54" i="20"/>
  <c r="AM60" i="20"/>
  <c r="AO60" i="20" s="1"/>
  <c r="AK61" i="20"/>
  <c r="AL67" i="20"/>
  <c r="AK68" i="20"/>
  <c r="AJ69" i="20"/>
  <c r="AL75" i="20"/>
  <c r="AJ5" i="20"/>
  <c r="AJ10" i="20"/>
  <c r="AJ15" i="20"/>
  <c r="AK16" i="20"/>
  <c r="AL17" i="20"/>
  <c r="AJ18" i="20"/>
  <c r="AK19" i="20"/>
  <c r="AK21" i="20"/>
  <c r="AL22" i="20"/>
  <c r="AJ29" i="20"/>
  <c r="AK30" i="20"/>
  <c r="AK32" i="20"/>
  <c r="AJ45" i="20"/>
  <c r="AL50" i="20"/>
  <c r="AK60" i="20"/>
  <c r="AL61" i="20"/>
  <c r="AM65" i="20"/>
  <c r="AO65" i="20" s="1"/>
  <c r="AM66" i="20"/>
  <c r="AO66" i="20" s="1"/>
  <c r="AM68" i="20"/>
  <c r="AO68" i="20" s="1"/>
  <c r="AM81" i="20"/>
  <c r="AN81" i="20" s="1"/>
  <c r="AK82" i="20"/>
  <c r="AM83" i="20"/>
  <c r="AN83" i="20" s="1"/>
  <c r="AK85" i="20"/>
  <c r="AM6" i="20"/>
  <c r="AO6" i="20" s="1"/>
  <c r="AL8" i="20"/>
  <c r="AM27" i="20"/>
  <c r="AO27" i="20" s="1"/>
  <c r="AL31" i="20"/>
  <c r="AL33" i="20"/>
  <c r="AM41" i="20"/>
  <c r="AO41" i="20" s="1"/>
  <c r="AK42" i="20"/>
  <c r="AJ48" i="20"/>
  <c r="AM51" i="20"/>
  <c r="AO51" i="20" s="1"/>
  <c r="AK54" i="20"/>
  <c r="AL57" i="20"/>
  <c r="AL60" i="20"/>
  <c r="AJ62" i="20"/>
  <c r="AK69" i="20"/>
  <c r="AJ70" i="20"/>
  <c r="AJ73" i="20"/>
  <c r="AK83" i="20"/>
  <c r="AJ84" i="20"/>
  <c r="AL85" i="20"/>
  <c r="AK86" i="20"/>
  <c r="P89" i="20"/>
  <c r="P92" i="20" s="1"/>
  <c r="AD89" i="20"/>
  <c r="AK18" i="20"/>
  <c r="AL19" i="20"/>
  <c r="AJ31" i="20"/>
  <c r="AJ32" i="20"/>
  <c r="AJ41" i="20"/>
  <c r="AK45" i="20"/>
  <c r="AM48" i="20"/>
  <c r="AO48" i="20" s="1"/>
  <c r="AL55" i="20"/>
  <c r="AJ59" i="20"/>
  <c r="AM62" i="20"/>
  <c r="AO62" i="20" s="1"/>
  <c r="AL69" i="20"/>
  <c r="AM70" i="20"/>
  <c r="AO70" i="20" s="1"/>
  <c r="AM73" i="20"/>
  <c r="AN73" i="20" s="1"/>
  <c r="Q89" i="20"/>
  <c r="Q92" i="20" s="1"/>
  <c r="AL5" i="20"/>
  <c r="AM7" i="20"/>
  <c r="AK12" i="20"/>
  <c r="AL13" i="20"/>
  <c r="AM25" i="20"/>
  <c r="AO25" i="20" s="1"/>
  <c r="AM26" i="20"/>
  <c r="AO26" i="20" s="1"/>
  <c r="AL27" i="20"/>
  <c r="AK29" i="20"/>
  <c r="AM33" i="20"/>
  <c r="AO33" i="20" s="1"/>
  <c r="AK34" i="20"/>
  <c r="AL35" i="20"/>
  <c r="AM39" i="20"/>
  <c r="AO39" i="20" s="1"/>
  <c r="AL43" i="20"/>
  <c r="AL45" i="20"/>
  <c r="AK48" i="20"/>
  <c r="AL49" i="20"/>
  <c r="AL51" i="20"/>
  <c r="AL52" i="20"/>
  <c r="AJ53" i="20"/>
  <c r="AM56" i="20"/>
  <c r="AN56" i="20" s="1"/>
  <c r="AK70" i="20"/>
  <c r="AK4" i="20"/>
  <c r="AG89" i="20"/>
  <c r="AG92" i="20" s="1"/>
  <c r="AM23" i="20"/>
  <c r="AO23" i="20" s="1"/>
  <c r="AK24" i="20"/>
  <c r="AL25" i="20"/>
  <c r="AL26" i="20"/>
  <c r="AM30" i="20"/>
  <c r="AO30" i="20" s="1"/>
  <c r="AL32" i="20"/>
  <c r="AL39" i="20"/>
  <c r="AJ47" i="20"/>
  <c r="AJ50" i="20"/>
  <c r="AK53" i="20"/>
  <c r="AL59" i="20"/>
  <c r="AK74" i="20"/>
  <c r="AM75" i="20"/>
  <c r="AO75" i="20" s="1"/>
  <c r="AM85" i="20"/>
  <c r="AO85" i="20" s="1"/>
  <c r="AM12" i="20"/>
  <c r="Z89" i="20"/>
  <c r="AJ20" i="20"/>
  <c r="AM22" i="20"/>
  <c r="AO22" i="20" s="1"/>
  <c r="AC89" i="20"/>
  <c r="AC92" i="20" s="1"/>
  <c r="M89" i="20"/>
  <c r="AM10" i="20"/>
  <c r="AM4" i="20"/>
  <c r="AF89" i="20"/>
  <c r="AF92" i="20" s="1"/>
  <c r="AM14" i="20"/>
  <c r="AK20" i="20"/>
  <c r="AJ37" i="20"/>
  <c r="AK37" i="20"/>
  <c r="AM46" i="20"/>
  <c r="AJ49" i="20"/>
  <c r="AK49" i="20"/>
  <c r="AM71" i="20"/>
  <c r="AE89" i="20"/>
  <c r="AE92" i="20" s="1"/>
  <c r="AM9" i="20"/>
  <c r="AM38" i="20"/>
  <c r="AO38" i="20" s="1"/>
  <c r="AM78" i="20"/>
  <c r="V89" i="20"/>
  <c r="AL4" i="20"/>
  <c r="AL30" i="20"/>
  <c r="W89" i="20"/>
  <c r="W92" i="20" s="1"/>
  <c r="AM8" i="20"/>
  <c r="AL10" i="20"/>
  <c r="AJ17" i="20"/>
  <c r="AK17" i="20"/>
  <c r="AJ25" i="20"/>
  <c r="AK25" i="20"/>
  <c r="AM40" i="20"/>
  <c r="AO40" i="20" s="1"/>
  <c r="AM44" i="20"/>
  <c r="F89" i="20"/>
  <c r="F92" i="20" s="1"/>
  <c r="AJ7" i="20"/>
  <c r="AM11" i="20"/>
  <c r="AA89" i="20"/>
  <c r="AA92" i="20" s="1"/>
  <c r="AL12" i="20"/>
  <c r="AM28" i="20"/>
  <c r="AO28" i="20" s="1"/>
  <c r="AM32" i="20"/>
  <c r="AM80" i="20"/>
  <c r="AB89" i="20"/>
  <c r="H89" i="20"/>
  <c r="AM34" i="20"/>
  <c r="AO34" i="20" s="1"/>
  <c r="AM84" i="20"/>
  <c r="AJ24" i="20"/>
  <c r="AJ36" i="20"/>
  <c r="R89" i="20"/>
  <c r="AJ16" i="20"/>
  <c r="AJ23" i="20"/>
  <c r="AJ35" i="20"/>
  <c r="AJ78" i="20"/>
  <c r="U89" i="20"/>
  <c r="U92" i="20" s="1"/>
  <c r="AJ52" i="20"/>
  <c r="AL79" i="20"/>
  <c r="AJ12" i="20"/>
  <c r="AJ30" i="20"/>
  <c r="AJ42" i="20"/>
  <c r="AL68" i="20"/>
  <c r="AL81" i="20"/>
  <c r="AJ61" i="20"/>
  <c r="AM54" i="20"/>
  <c r="AJ74" i="20"/>
  <c r="AJ4" i="20"/>
  <c r="W73" i="19"/>
  <c r="W77" i="19" s="1"/>
  <c r="W79" i="19" s="1"/>
  <c r="V73" i="19"/>
  <c r="V77" i="19" s="1"/>
  <c r="U73" i="19"/>
  <c r="U77" i="19" s="1"/>
  <c r="T73" i="19"/>
  <c r="T77" i="19" s="1"/>
  <c r="T79" i="19" s="1"/>
  <c r="S73" i="19"/>
  <c r="S77" i="19" s="1"/>
  <c r="S79" i="19" s="1"/>
  <c r="R73" i="19"/>
  <c r="R77" i="19" s="1"/>
  <c r="R79" i="19" s="1"/>
  <c r="Q73" i="19"/>
  <c r="Q77" i="19" s="1"/>
  <c r="Q79" i="19" s="1"/>
  <c r="P73" i="19"/>
  <c r="P77" i="19" s="1"/>
  <c r="P79" i="19" s="1"/>
  <c r="O73" i="19"/>
  <c r="O77" i="19" s="1"/>
  <c r="O79" i="19" s="1"/>
  <c r="N73" i="19"/>
  <c r="M73" i="19"/>
  <c r="K73" i="19"/>
  <c r="K77" i="19" s="1"/>
  <c r="J73" i="19"/>
  <c r="J77" i="19" s="1"/>
  <c r="J79" i="19" s="1"/>
  <c r="I73" i="19"/>
  <c r="I77" i="19" s="1"/>
  <c r="I79" i="19" s="1"/>
  <c r="H73" i="19"/>
  <c r="G73" i="19"/>
  <c r="F73" i="19"/>
  <c r="F77" i="19" s="1"/>
  <c r="F79" i="19" s="1"/>
  <c r="D73" i="19"/>
  <c r="AR5" i="22"/>
  <c r="AS5" i="22" s="1"/>
  <c r="K82" i="19" l="1"/>
  <c r="L82" i="19"/>
  <c r="G77" i="19"/>
  <c r="G79" i="19" s="1"/>
  <c r="D77" i="19"/>
  <c r="AQ15" i="20"/>
  <c r="Z19" i="24" s="1"/>
  <c r="AA19" i="24" s="1"/>
  <c r="M77" i="19"/>
  <c r="M79" i="19" s="1"/>
  <c r="N77" i="19"/>
  <c r="N79" i="19" s="1"/>
  <c r="AN5" i="20"/>
  <c r="AO16" i="20"/>
  <c r="Y70" i="19"/>
  <c r="AR86" i="22" s="1"/>
  <c r="Z92" i="20"/>
  <c r="R92" i="20"/>
  <c r="V92" i="20"/>
  <c r="AB92" i="20"/>
  <c r="M92" i="20"/>
  <c r="X92" i="20"/>
  <c r="K79" i="19"/>
  <c r="AO19" i="20"/>
  <c r="AR12" i="20"/>
  <c r="AR12" i="22"/>
  <c r="AS12" i="22" s="1"/>
  <c r="AR70" i="22"/>
  <c r="AS70" i="22" s="1"/>
  <c r="AR82" i="20"/>
  <c r="AR82" i="22"/>
  <c r="AS82" i="22" s="1"/>
  <c r="AR13" i="20"/>
  <c r="AR13" i="22"/>
  <c r="AS13" i="22" s="1"/>
  <c r="AR71" i="20"/>
  <c r="AR71" i="22"/>
  <c r="AS71" i="22" s="1"/>
  <c r="AR83" i="20"/>
  <c r="AR83" i="22"/>
  <c r="AS83" i="22" s="1"/>
  <c r="AR14" i="20"/>
  <c r="AR14" i="22"/>
  <c r="AS14" i="22" s="1"/>
  <c r="AR72" i="20"/>
  <c r="AR72" i="22"/>
  <c r="AS72" i="22" s="1"/>
  <c r="AR84" i="20"/>
  <c r="AR84" i="22"/>
  <c r="AS84" i="22" s="1"/>
  <c r="AR73" i="20"/>
  <c r="AR73" i="22"/>
  <c r="AS73" i="22" s="1"/>
  <c r="AR85" i="20"/>
  <c r="AR85" i="22"/>
  <c r="AS85" i="22" s="1"/>
  <c r="AR64" i="20"/>
  <c r="AR63" i="22"/>
  <c r="AS63" i="22" s="1"/>
  <c r="AR75" i="20"/>
  <c r="AR75" i="22"/>
  <c r="AS75" i="22" s="1"/>
  <c r="AR87" i="20"/>
  <c r="AR87" i="22"/>
  <c r="AS87" i="22" s="1"/>
  <c r="AR81" i="20"/>
  <c r="AR81" i="22"/>
  <c r="AS81" i="22" s="1"/>
  <c r="AR15" i="20"/>
  <c r="AS15" i="20" s="1"/>
  <c r="AR15" i="22"/>
  <c r="AS15" i="22" s="1"/>
  <c r="AR74" i="20"/>
  <c r="AR74" i="22"/>
  <c r="AS74" i="22" s="1"/>
  <c r="AR6" i="20"/>
  <c r="AR6" i="22"/>
  <c r="AS6" i="22" s="1"/>
  <c r="AR76" i="20"/>
  <c r="AR76" i="22"/>
  <c r="AS76" i="22" s="1"/>
  <c r="AR7" i="20"/>
  <c r="AR7" i="22"/>
  <c r="AS7" i="22" s="1"/>
  <c r="AR66" i="20"/>
  <c r="AR65" i="22"/>
  <c r="AS65" i="22" s="1"/>
  <c r="AR77" i="20"/>
  <c r="AR77" i="22"/>
  <c r="AS77" i="22" s="1"/>
  <c r="AR70" i="20"/>
  <c r="AR69" i="22"/>
  <c r="AS69" i="22" s="1"/>
  <c r="AR4" i="20"/>
  <c r="AR4" i="22"/>
  <c r="AS4" i="22" s="1"/>
  <c r="AR65" i="20"/>
  <c r="AR64" i="22"/>
  <c r="AS64" i="22" s="1"/>
  <c r="AR8" i="20"/>
  <c r="AR8" i="22"/>
  <c r="AS8" i="22" s="1"/>
  <c r="AR67" i="20"/>
  <c r="AR66" i="22"/>
  <c r="AS66" i="22" s="1"/>
  <c r="AR78" i="20"/>
  <c r="AR78" i="22"/>
  <c r="AS78" i="22" s="1"/>
  <c r="AR9" i="20"/>
  <c r="AR9" i="22"/>
  <c r="AS9" i="22" s="1"/>
  <c r="AR68" i="20"/>
  <c r="AR67" i="22"/>
  <c r="AS67" i="22" s="1"/>
  <c r="AR79" i="20"/>
  <c r="AR79" i="22"/>
  <c r="AS79" i="22" s="1"/>
  <c r="AR11" i="20"/>
  <c r="AR11" i="22"/>
  <c r="AS11" i="22" s="1"/>
  <c r="AR10" i="20"/>
  <c r="AR10" i="22"/>
  <c r="AS10" i="22" s="1"/>
  <c r="AR69" i="20"/>
  <c r="AR68" i="22"/>
  <c r="AS68" i="22" s="1"/>
  <c r="AR80" i="20"/>
  <c r="AR80" i="22"/>
  <c r="AS80" i="22" s="1"/>
  <c r="H77" i="19"/>
  <c r="H79" i="19" s="1"/>
  <c r="AN7" i="20"/>
  <c r="AO7" i="20"/>
  <c r="AO35" i="20"/>
  <c r="AD92" i="20"/>
  <c r="AH94" i="20"/>
  <c r="AN86" i="20"/>
  <c r="AQ86" i="20" s="1"/>
  <c r="AO86" i="20"/>
  <c r="AN59" i="20"/>
  <c r="AQ59" i="20" s="1"/>
  <c r="AS59" i="20" s="1"/>
  <c r="AN70" i="20"/>
  <c r="AQ70" i="20" s="1"/>
  <c r="AO83" i="20"/>
  <c r="AO50" i="20"/>
  <c r="AN66" i="20"/>
  <c r="AQ66" i="20" s="1"/>
  <c r="AN43" i="20"/>
  <c r="AQ43" i="20" s="1"/>
  <c r="AO13" i="20"/>
  <c r="AO73" i="20"/>
  <c r="AN47" i="20"/>
  <c r="AQ47" i="20" s="1"/>
  <c r="AS47" i="20" s="1"/>
  <c r="AN51" i="20"/>
  <c r="AQ51" i="20" s="1"/>
  <c r="AS51" i="20" s="1"/>
  <c r="AN67" i="20"/>
  <c r="AQ67" i="20" s="1"/>
  <c r="AN58" i="20"/>
  <c r="AQ58" i="20" s="1"/>
  <c r="AS58" i="20" s="1"/>
  <c r="AN6" i="20"/>
  <c r="AO57" i="20"/>
  <c r="AN87" i="20"/>
  <c r="AQ87" i="20" s="1"/>
  <c r="AN53" i="20"/>
  <c r="AQ53" i="20" s="1"/>
  <c r="AS53" i="20" s="1"/>
  <c r="AN60" i="20"/>
  <c r="AQ60" i="20" s="1"/>
  <c r="AS60" i="20" s="1"/>
  <c r="AN75" i="20"/>
  <c r="AQ75" i="20" s="1"/>
  <c r="AN48" i="20"/>
  <c r="AQ48" i="20" s="1"/>
  <c r="AS48" i="20" s="1"/>
  <c r="AN82" i="20"/>
  <c r="AQ82" i="20" s="1"/>
  <c r="AO15" i="20"/>
  <c r="AN65" i="20"/>
  <c r="AQ65" i="20" s="1"/>
  <c r="AO42" i="20"/>
  <c r="AN64" i="20"/>
  <c r="AQ64" i="20" s="1"/>
  <c r="AR5" i="20"/>
  <c r="AA19" i="19"/>
  <c r="AN52" i="20"/>
  <c r="AQ52" i="20" s="1"/>
  <c r="AS52" i="20" s="1"/>
  <c r="AO56" i="20"/>
  <c r="AO81" i="20"/>
  <c r="AN69" i="20"/>
  <c r="AQ69" i="20" s="1"/>
  <c r="Z54" i="24"/>
  <c r="AA54" i="24" s="1"/>
  <c r="AN74" i="20"/>
  <c r="AQ74" i="20" s="1"/>
  <c r="AO49" i="20"/>
  <c r="AO61" i="20"/>
  <c r="AN77" i="20"/>
  <c r="AQ77" i="20" s="1"/>
  <c r="AN55" i="20"/>
  <c r="AQ55" i="20" s="1"/>
  <c r="AS55" i="20" s="1"/>
  <c r="AN76" i="20"/>
  <c r="AQ76" i="20" s="1"/>
  <c r="AK89" i="20"/>
  <c r="AK92" i="20" s="1"/>
  <c r="AN79" i="20"/>
  <c r="AQ79" i="20" s="1"/>
  <c r="AN68" i="20"/>
  <c r="AQ68" i="20" s="1"/>
  <c r="AN85" i="20"/>
  <c r="AQ85" i="20" s="1"/>
  <c r="AN72" i="20"/>
  <c r="AQ72" i="20" s="1"/>
  <c r="AN62" i="20"/>
  <c r="AQ62" i="20" s="1"/>
  <c r="AS62" i="20" s="1"/>
  <c r="AN45" i="20"/>
  <c r="AQ45" i="20" s="1"/>
  <c r="AS45" i="20" s="1"/>
  <c r="AO45" i="20"/>
  <c r="AL89" i="20"/>
  <c r="AL92" i="20" s="1"/>
  <c r="AN80" i="20"/>
  <c r="AO80" i="20"/>
  <c r="AN71" i="20"/>
  <c r="AO71" i="20"/>
  <c r="AO14" i="20"/>
  <c r="AN14" i="20"/>
  <c r="AQ73" i="20"/>
  <c r="AQ57" i="20"/>
  <c r="AS57" i="20" s="1"/>
  <c r="AQ83" i="20"/>
  <c r="AQ56" i="20"/>
  <c r="AS56" i="20" s="1"/>
  <c r="AO46" i="20"/>
  <c r="AN46" i="20"/>
  <c r="AM89" i="20"/>
  <c r="AO4" i="20"/>
  <c r="AN4" i="20"/>
  <c r="AO32" i="20"/>
  <c r="AJ89" i="20"/>
  <c r="AO78" i="20"/>
  <c r="AN78" i="20"/>
  <c r="AO9" i="20"/>
  <c r="AN9" i="20"/>
  <c r="AO12" i="20"/>
  <c r="AN12" i="20"/>
  <c r="AQ50" i="20"/>
  <c r="AS50" i="20" s="1"/>
  <c r="AO8" i="20"/>
  <c r="AN8" i="20"/>
  <c r="AN84" i="20"/>
  <c r="AO84" i="20"/>
  <c r="AQ13" i="20"/>
  <c r="AQ81" i="20"/>
  <c r="AO44" i="20"/>
  <c r="AN44" i="20"/>
  <c r="AO10" i="20"/>
  <c r="AN10" i="20"/>
  <c r="AQ61" i="20"/>
  <c r="AS61" i="20" s="1"/>
  <c r="AO11" i="20"/>
  <c r="AN11" i="20"/>
  <c r="AO54" i="20"/>
  <c r="AN54" i="20"/>
  <c r="AH95" i="17"/>
  <c r="O91" i="17"/>
  <c r="N91" i="17"/>
  <c r="AS89" i="17"/>
  <c r="T89" i="17"/>
  <c r="T92" i="17" s="1"/>
  <c r="S89" i="17"/>
  <c r="S92" i="17" s="1"/>
  <c r="O89" i="17"/>
  <c r="K89" i="17"/>
  <c r="K92" i="17" s="1"/>
  <c r="I89" i="17"/>
  <c r="I92" i="17" s="1"/>
  <c r="G89" i="17"/>
  <c r="G92" i="17" s="1"/>
  <c r="AR88" i="17"/>
  <c r="R88" i="17"/>
  <c r="Q88" i="17"/>
  <c r="M88" i="17"/>
  <c r="L88" i="17"/>
  <c r="AI88" i="17" s="1"/>
  <c r="AR87" i="17"/>
  <c r="R87" i="17"/>
  <c r="Q87" i="17"/>
  <c r="M87" i="17"/>
  <c r="L87" i="17"/>
  <c r="AI87" i="17" s="1"/>
  <c r="AR86" i="17"/>
  <c r="R86" i="17"/>
  <c r="Q86" i="17"/>
  <c r="M86" i="17"/>
  <c r="L86" i="17"/>
  <c r="AI86" i="17" s="1"/>
  <c r="AR85" i="17"/>
  <c r="R85" i="17"/>
  <c r="Q85" i="17"/>
  <c r="M85" i="17"/>
  <c r="L85" i="17"/>
  <c r="AI85" i="17" s="1"/>
  <c r="AR84" i="17"/>
  <c r="R84" i="17"/>
  <c r="Q84" i="17"/>
  <c r="M84" i="17"/>
  <c r="L84" i="17"/>
  <c r="AI84" i="17" s="1"/>
  <c r="AR83" i="17"/>
  <c r="R83" i="17"/>
  <c r="Q83" i="17"/>
  <c r="M83" i="17"/>
  <c r="L83" i="17"/>
  <c r="AI83" i="17" s="1"/>
  <c r="AR82" i="17"/>
  <c r="R82" i="17"/>
  <c r="Q82" i="17"/>
  <c r="M82" i="17"/>
  <c r="L82" i="17"/>
  <c r="AI82" i="17" s="1"/>
  <c r="AR81" i="17"/>
  <c r="R81" i="17"/>
  <c r="Q81" i="17"/>
  <c r="M81" i="17"/>
  <c r="L81" i="17"/>
  <c r="AI81" i="17" s="1"/>
  <c r="AR80" i="17"/>
  <c r="R80" i="17"/>
  <c r="Q80" i="17"/>
  <c r="M80" i="17"/>
  <c r="L80" i="17"/>
  <c r="AI80" i="17" s="1"/>
  <c r="AR79" i="17"/>
  <c r="R79" i="17"/>
  <c r="Q79" i="17"/>
  <c r="M79" i="17"/>
  <c r="L79" i="17"/>
  <c r="AI79" i="17" s="1"/>
  <c r="AR78" i="17"/>
  <c r="R78" i="17"/>
  <c r="Q78" i="17"/>
  <c r="M78" i="17"/>
  <c r="L78" i="17"/>
  <c r="AI78" i="17" s="1"/>
  <c r="AR77" i="17"/>
  <c r="R77" i="17"/>
  <c r="Q77" i="17"/>
  <c r="M77" i="17"/>
  <c r="L77" i="17"/>
  <c r="AI77" i="17" s="1"/>
  <c r="AR76" i="17"/>
  <c r="R76" i="17"/>
  <c r="Q76" i="17"/>
  <c r="M76" i="17"/>
  <c r="L76" i="17"/>
  <c r="AI76" i="17" s="1"/>
  <c r="AR75" i="17"/>
  <c r="R75" i="17"/>
  <c r="Q75" i="17"/>
  <c r="M75" i="17"/>
  <c r="L75" i="17"/>
  <c r="AI75" i="17" s="1"/>
  <c r="AR74" i="17"/>
  <c r="R74" i="17"/>
  <c r="Q74" i="17"/>
  <c r="M74" i="17"/>
  <c r="L74" i="17"/>
  <c r="AI74" i="17" s="1"/>
  <c r="AR73" i="17"/>
  <c r="R73" i="17"/>
  <c r="Q73" i="17"/>
  <c r="M73" i="17"/>
  <c r="L73" i="17"/>
  <c r="AI73" i="17" s="1"/>
  <c r="AR72" i="17"/>
  <c r="R72" i="17"/>
  <c r="Q72" i="17"/>
  <c r="M72" i="17"/>
  <c r="L72" i="17"/>
  <c r="AI72" i="17" s="1"/>
  <c r="AR71" i="17"/>
  <c r="R71" i="17"/>
  <c r="Q71" i="17"/>
  <c r="M71" i="17"/>
  <c r="L71" i="17"/>
  <c r="AI71" i="17" s="1"/>
  <c r="AR70" i="17"/>
  <c r="R70" i="17"/>
  <c r="Q70" i="17"/>
  <c r="M70" i="17"/>
  <c r="L70" i="17"/>
  <c r="AI70" i="17" s="1"/>
  <c r="AR69" i="17"/>
  <c r="R69" i="17"/>
  <c r="Q69" i="17"/>
  <c r="M69" i="17"/>
  <c r="L69" i="17"/>
  <c r="AI69" i="17" s="1"/>
  <c r="AR68" i="17"/>
  <c r="R68" i="17"/>
  <c r="Q68" i="17"/>
  <c r="M68" i="17"/>
  <c r="L68" i="17"/>
  <c r="AI68" i="17" s="1"/>
  <c r="AR67" i="17"/>
  <c r="R67" i="17"/>
  <c r="Q67" i="17"/>
  <c r="M67" i="17"/>
  <c r="L67" i="17"/>
  <c r="AI67" i="17" s="1"/>
  <c r="AR66" i="17"/>
  <c r="R66" i="17"/>
  <c r="Q66" i="17"/>
  <c r="M66" i="17"/>
  <c r="L66" i="17"/>
  <c r="AI66" i="17" s="1"/>
  <c r="AR65" i="17"/>
  <c r="R65" i="17"/>
  <c r="Q65" i="17"/>
  <c r="N65" i="17"/>
  <c r="AI65" i="17" s="1"/>
  <c r="AR64" i="17"/>
  <c r="R64" i="17"/>
  <c r="Q64" i="17"/>
  <c r="N64" i="17"/>
  <c r="AI64" i="17" s="1"/>
  <c r="AR63" i="17"/>
  <c r="R63" i="17"/>
  <c r="Q63" i="17"/>
  <c r="N63" i="17"/>
  <c r="AR62" i="17"/>
  <c r="AI62" i="17"/>
  <c r="R62" i="17"/>
  <c r="Q62" i="17"/>
  <c r="M62" i="17"/>
  <c r="L62" i="17"/>
  <c r="AR61" i="17"/>
  <c r="AI61" i="17"/>
  <c r="R61" i="17"/>
  <c r="Q61" i="17"/>
  <c r="M61" i="17"/>
  <c r="L61" i="17"/>
  <c r="AR60" i="17"/>
  <c r="AI60" i="17"/>
  <c r="R60" i="17"/>
  <c r="Q60" i="17"/>
  <c r="M60" i="17"/>
  <c r="L60" i="17"/>
  <c r="AR59" i="17"/>
  <c r="AI59" i="17"/>
  <c r="R59" i="17"/>
  <c r="Q59" i="17"/>
  <c r="M59" i="17"/>
  <c r="L59" i="17"/>
  <c r="AR58" i="17"/>
  <c r="AI58" i="17"/>
  <c r="R58" i="17"/>
  <c r="Q58" i="17"/>
  <c r="M58" i="17"/>
  <c r="L58" i="17"/>
  <c r="AR57" i="17"/>
  <c r="AI57" i="17"/>
  <c r="R57" i="17"/>
  <c r="Q57" i="17"/>
  <c r="M57" i="17"/>
  <c r="L57" i="17"/>
  <c r="AR56" i="17"/>
  <c r="AI56" i="17"/>
  <c r="R56" i="17"/>
  <c r="Q56" i="17"/>
  <c r="M56" i="17"/>
  <c r="L56" i="17"/>
  <c r="AR55" i="17"/>
  <c r="AI55" i="17"/>
  <c r="R55" i="17"/>
  <c r="Q55" i="17"/>
  <c r="M55" i="17"/>
  <c r="L55" i="17"/>
  <c r="AR54" i="17"/>
  <c r="AI54" i="17"/>
  <c r="R54" i="17"/>
  <c r="Q54" i="17"/>
  <c r="M54" i="17"/>
  <c r="L54" i="17"/>
  <c r="AR53" i="17"/>
  <c r="AI53" i="17"/>
  <c r="R53" i="17"/>
  <c r="Q53" i="17"/>
  <c r="M53" i="17"/>
  <c r="L53" i="17"/>
  <c r="AR52" i="17"/>
  <c r="AI52" i="17"/>
  <c r="R52" i="17"/>
  <c r="Q52" i="17"/>
  <c r="M52" i="17"/>
  <c r="L52" i="17"/>
  <c r="AR51" i="17"/>
  <c r="AI51" i="17"/>
  <c r="R51" i="17"/>
  <c r="Q51" i="17"/>
  <c r="M51" i="17"/>
  <c r="L51" i="17"/>
  <c r="AR50" i="17"/>
  <c r="AI50" i="17"/>
  <c r="R50" i="17"/>
  <c r="Q50" i="17"/>
  <c r="M50" i="17"/>
  <c r="L50" i="17"/>
  <c r="AR49" i="17"/>
  <c r="AI49" i="17"/>
  <c r="R49" i="17"/>
  <c r="Q49" i="17"/>
  <c r="M49" i="17"/>
  <c r="L49" i="17"/>
  <c r="AR48" i="17"/>
  <c r="AI48" i="17"/>
  <c r="R48" i="17"/>
  <c r="Q48" i="17"/>
  <c r="M48" i="17"/>
  <c r="L48" i="17"/>
  <c r="AR47" i="17"/>
  <c r="AI47" i="17"/>
  <c r="R47" i="17"/>
  <c r="Q47" i="17"/>
  <c r="M47" i="17"/>
  <c r="L47" i="17"/>
  <c r="AR46" i="17"/>
  <c r="AI46" i="17"/>
  <c r="R46" i="17"/>
  <c r="Q46" i="17"/>
  <c r="M46" i="17"/>
  <c r="L46" i="17"/>
  <c r="AR45" i="17"/>
  <c r="AI45" i="17"/>
  <c r="R45" i="17"/>
  <c r="Q45" i="17"/>
  <c r="M45" i="17"/>
  <c r="L45" i="17"/>
  <c r="AR44" i="17"/>
  <c r="AI44" i="17"/>
  <c r="R44" i="17"/>
  <c r="Q44" i="17"/>
  <c r="M44" i="17"/>
  <c r="L44" i="17"/>
  <c r="AR43" i="17"/>
  <c r="AI43" i="17"/>
  <c r="R43" i="17"/>
  <c r="Q43" i="17"/>
  <c r="M43" i="17"/>
  <c r="L43" i="17"/>
  <c r="AR42" i="17"/>
  <c r="AI42" i="17"/>
  <c r="J42" i="17"/>
  <c r="H42" i="17"/>
  <c r="F42" i="17"/>
  <c r="AR41" i="17"/>
  <c r="AI41" i="17"/>
  <c r="J41" i="17"/>
  <c r="H41" i="17"/>
  <c r="F41" i="17"/>
  <c r="AR40" i="17"/>
  <c r="AI40" i="17"/>
  <c r="J40" i="17"/>
  <c r="H40" i="17"/>
  <c r="F40" i="17"/>
  <c r="AR39" i="17"/>
  <c r="AI39" i="17"/>
  <c r="J39" i="17"/>
  <c r="H39" i="17"/>
  <c r="F39" i="17"/>
  <c r="AR38" i="17"/>
  <c r="AI38" i="17"/>
  <c r="J38" i="17"/>
  <c r="H38" i="17"/>
  <c r="F38" i="17"/>
  <c r="AR37" i="17"/>
  <c r="AI37" i="17"/>
  <c r="J37" i="17"/>
  <c r="H37" i="17"/>
  <c r="F37" i="17"/>
  <c r="AR36" i="17"/>
  <c r="AI36" i="17"/>
  <c r="J36" i="17"/>
  <c r="H36" i="17"/>
  <c r="F36" i="17"/>
  <c r="AR35" i="17"/>
  <c r="AI35" i="17"/>
  <c r="J35" i="17"/>
  <c r="H35" i="17"/>
  <c r="F35" i="17"/>
  <c r="AR34" i="17"/>
  <c r="AI34" i="17"/>
  <c r="J34" i="17"/>
  <c r="H34" i="17"/>
  <c r="F34" i="17"/>
  <c r="AR33" i="17"/>
  <c r="AI33" i="17"/>
  <c r="J33" i="17"/>
  <c r="H33" i="17"/>
  <c r="F33" i="17"/>
  <c r="AR32" i="17"/>
  <c r="AI32" i="17"/>
  <c r="J32" i="17"/>
  <c r="H32" i="17"/>
  <c r="F32" i="17"/>
  <c r="AR31" i="17"/>
  <c r="AI31" i="17"/>
  <c r="J31" i="17"/>
  <c r="H31" i="17"/>
  <c r="F31" i="17"/>
  <c r="AR30" i="17"/>
  <c r="AI30" i="17"/>
  <c r="J30" i="17"/>
  <c r="H30" i="17"/>
  <c r="F30" i="17"/>
  <c r="AR29" i="17"/>
  <c r="AI29" i="17"/>
  <c r="J29" i="17"/>
  <c r="H29" i="17"/>
  <c r="F29" i="17"/>
  <c r="AR28" i="17"/>
  <c r="AI28" i="17"/>
  <c r="J28" i="17"/>
  <c r="H28" i="17"/>
  <c r="F28" i="17"/>
  <c r="AR27" i="17"/>
  <c r="AI27" i="17"/>
  <c r="J27" i="17"/>
  <c r="H27" i="17"/>
  <c r="F27" i="17"/>
  <c r="AR26" i="17"/>
  <c r="AI26" i="17"/>
  <c r="J26" i="17"/>
  <c r="H26" i="17"/>
  <c r="F26" i="17"/>
  <c r="AR25" i="17"/>
  <c r="AI25" i="17"/>
  <c r="J25" i="17"/>
  <c r="H25" i="17"/>
  <c r="F25" i="17"/>
  <c r="AR24" i="17"/>
  <c r="AI24" i="17"/>
  <c r="J24" i="17"/>
  <c r="H24" i="17"/>
  <c r="F24" i="17"/>
  <c r="AR23" i="17"/>
  <c r="AI23" i="17"/>
  <c r="J23" i="17"/>
  <c r="H23" i="17"/>
  <c r="F23" i="17"/>
  <c r="AR22" i="17"/>
  <c r="AI22" i="17"/>
  <c r="J22" i="17"/>
  <c r="H22" i="17"/>
  <c r="F22" i="17"/>
  <c r="AR21" i="17"/>
  <c r="AI21" i="17"/>
  <c r="J21" i="17"/>
  <c r="H21" i="17"/>
  <c r="F21" i="17"/>
  <c r="AR20" i="17"/>
  <c r="AI20" i="17"/>
  <c r="J20" i="17"/>
  <c r="H20" i="17"/>
  <c r="F20" i="17"/>
  <c r="AR19" i="17"/>
  <c r="AI19" i="17"/>
  <c r="J19" i="17"/>
  <c r="H19" i="17"/>
  <c r="F19" i="17"/>
  <c r="AR18" i="17"/>
  <c r="AI18" i="17"/>
  <c r="J18" i="17"/>
  <c r="H18" i="17"/>
  <c r="F18" i="17"/>
  <c r="AR17" i="17"/>
  <c r="AI17" i="17"/>
  <c r="J17" i="17"/>
  <c r="H17" i="17"/>
  <c r="F17" i="17"/>
  <c r="AR16" i="17"/>
  <c r="AI16" i="17"/>
  <c r="J16" i="17"/>
  <c r="H16" i="17"/>
  <c r="F16" i="17"/>
  <c r="AR15" i="17"/>
  <c r="R15" i="17"/>
  <c r="Q15" i="17"/>
  <c r="M15" i="17"/>
  <c r="L15" i="17"/>
  <c r="AI15" i="17" s="1"/>
  <c r="AR14" i="17"/>
  <c r="R14" i="17"/>
  <c r="Q14" i="17"/>
  <c r="M14" i="17"/>
  <c r="L14" i="17"/>
  <c r="AI14" i="17" s="1"/>
  <c r="AR13" i="17"/>
  <c r="R13" i="17"/>
  <c r="Q13" i="17"/>
  <c r="M13" i="17"/>
  <c r="L13" i="17"/>
  <c r="AI13" i="17" s="1"/>
  <c r="AR12" i="17"/>
  <c r="R12" i="17"/>
  <c r="Q12" i="17"/>
  <c r="M12" i="17"/>
  <c r="L12" i="17"/>
  <c r="AI12" i="17" s="1"/>
  <c r="AR11" i="17"/>
  <c r="R11" i="17"/>
  <c r="Q11" i="17"/>
  <c r="M11" i="17"/>
  <c r="L11" i="17"/>
  <c r="AI11" i="17" s="1"/>
  <c r="AR10" i="17"/>
  <c r="R10" i="17"/>
  <c r="Q10" i="17"/>
  <c r="M10" i="17"/>
  <c r="L10" i="17"/>
  <c r="AI10" i="17" s="1"/>
  <c r="AR9" i="17"/>
  <c r="R9" i="17"/>
  <c r="Q9" i="17"/>
  <c r="M9" i="17"/>
  <c r="L9" i="17"/>
  <c r="AI9" i="17" s="1"/>
  <c r="AR8" i="17"/>
  <c r="R8" i="17"/>
  <c r="Q8" i="17"/>
  <c r="M8" i="17"/>
  <c r="L8" i="17"/>
  <c r="AI8" i="17" s="1"/>
  <c r="AR7" i="17"/>
  <c r="R7" i="17"/>
  <c r="Q7" i="17"/>
  <c r="M7" i="17"/>
  <c r="L7" i="17"/>
  <c r="AI7" i="17" s="1"/>
  <c r="AR6" i="17"/>
  <c r="R6" i="17"/>
  <c r="Q6" i="17"/>
  <c r="M6" i="17"/>
  <c r="L6" i="17"/>
  <c r="AI6" i="17" s="1"/>
  <c r="AR5" i="17"/>
  <c r="R5" i="17"/>
  <c r="Q5" i="17"/>
  <c r="M5" i="17"/>
  <c r="L5" i="17"/>
  <c r="AI5" i="17" s="1"/>
  <c r="AR4" i="17"/>
  <c r="AR89" i="17" s="1"/>
  <c r="R4" i="17"/>
  <c r="Q4" i="17"/>
  <c r="M4" i="17"/>
  <c r="L4" i="17"/>
  <c r="O92" i="17" l="1"/>
  <c r="Z19" i="26"/>
  <c r="AA19" i="26" s="1"/>
  <c r="AQ7" i="20"/>
  <c r="AS7" i="20" s="1"/>
  <c r="AQ6" i="20"/>
  <c r="Z10" i="24" s="1"/>
  <c r="AA10" i="24" s="1"/>
  <c r="AQ5" i="20"/>
  <c r="Z9" i="26" s="1"/>
  <c r="AA9" i="26" s="1"/>
  <c r="Z60" i="24"/>
  <c r="AA60" i="24" s="1"/>
  <c r="Z60" i="26"/>
  <c r="AA60" i="26" s="1"/>
  <c r="Z47" i="24"/>
  <c r="AA47" i="24" s="1"/>
  <c r="Z47" i="26"/>
  <c r="AA47" i="26" s="1"/>
  <c r="Z61" i="24"/>
  <c r="AA61" i="24" s="1"/>
  <c r="Z61" i="26"/>
  <c r="AA61" i="26" s="1"/>
  <c r="Z50" i="24"/>
  <c r="AA50" i="24" s="1"/>
  <c r="Z50" i="26"/>
  <c r="AA50" i="26" s="1"/>
  <c r="Z70" i="24"/>
  <c r="AA70" i="24" s="1"/>
  <c r="Z70" i="26"/>
  <c r="AA70" i="26" s="1"/>
  <c r="Z48" i="24"/>
  <c r="AA48" i="24" s="1"/>
  <c r="Z48" i="26"/>
  <c r="AA48" i="26" s="1"/>
  <c r="Z9" i="24"/>
  <c r="AA9" i="24" s="1"/>
  <c r="Z58" i="24"/>
  <c r="AA58" i="24" s="1"/>
  <c r="Z58" i="26"/>
  <c r="AA58" i="26" s="1"/>
  <c r="Z66" i="24"/>
  <c r="AA66" i="24" s="1"/>
  <c r="Z66" i="26"/>
  <c r="AA66" i="26" s="1"/>
  <c r="Z67" i="24"/>
  <c r="AA67" i="24" s="1"/>
  <c r="Z67" i="26"/>
  <c r="AA67" i="26" s="1"/>
  <c r="Z56" i="24"/>
  <c r="AA56" i="24" s="1"/>
  <c r="Z56" i="26"/>
  <c r="AA56" i="26" s="1"/>
  <c r="Z52" i="24"/>
  <c r="AA52" i="24" s="1"/>
  <c r="Z52" i="26"/>
  <c r="AA52" i="26" s="1"/>
  <c r="Z59" i="24"/>
  <c r="AA59" i="24" s="1"/>
  <c r="Z59" i="26"/>
  <c r="AA59" i="26" s="1"/>
  <c r="AS43" i="20"/>
  <c r="Z54" i="26"/>
  <c r="AA54" i="26" s="1"/>
  <c r="Z11" i="26"/>
  <c r="AA11" i="26" s="1"/>
  <c r="Z57" i="24"/>
  <c r="AA57" i="24" s="1"/>
  <c r="Z57" i="26"/>
  <c r="AA57" i="26" s="1"/>
  <c r="Z69" i="24"/>
  <c r="AA69" i="24" s="1"/>
  <c r="Z69" i="26"/>
  <c r="AA69" i="26" s="1"/>
  <c r="Z49" i="24"/>
  <c r="AA49" i="24" s="1"/>
  <c r="Z49" i="26"/>
  <c r="AA49" i="26" s="1"/>
  <c r="Z65" i="24"/>
  <c r="AA65" i="24" s="1"/>
  <c r="Z65" i="26"/>
  <c r="AA65" i="26" s="1"/>
  <c r="Z51" i="24"/>
  <c r="AA51" i="24" s="1"/>
  <c r="Z51" i="26"/>
  <c r="AA51" i="26" s="1"/>
  <c r="Z53" i="24"/>
  <c r="AA53" i="24" s="1"/>
  <c r="Z53" i="26"/>
  <c r="AA53" i="26" s="1"/>
  <c r="Z17" i="24"/>
  <c r="AA17" i="24" s="1"/>
  <c r="Z17" i="26"/>
  <c r="AA17" i="26" s="1"/>
  <c r="Z63" i="24"/>
  <c r="AA63" i="24" s="1"/>
  <c r="Z63" i="26"/>
  <c r="AA63" i="26" s="1"/>
  <c r="Z71" i="24"/>
  <c r="AA71" i="24" s="1"/>
  <c r="Z71" i="26"/>
  <c r="AA71" i="26" s="1"/>
  <c r="AS86" i="22"/>
  <c r="AR86" i="20"/>
  <c r="AS86" i="20" s="1"/>
  <c r="AL70" i="17"/>
  <c r="AK65" i="17"/>
  <c r="AK79" i="17"/>
  <c r="AS72" i="20"/>
  <c r="AA56" i="19"/>
  <c r="AS75" i="20"/>
  <c r="AA59" i="19"/>
  <c r="AS73" i="20"/>
  <c r="AA57" i="19"/>
  <c r="AS76" i="20"/>
  <c r="AA60" i="19"/>
  <c r="AK55" i="17"/>
  <c r="AS87" i="20"/>
  <c r="AA71" i="19"/>
  <c r="AS65" i="20"/>
  <c r="AA48" i="19"/>
  <c r="AA54" i="19"/>
  <c r="AS64" i="20"/>
  <c r="AA47" i="19"/>
  <c r="AS74" i="20"/>
  <c r="AA58" i="19"/>
  <c r="AS69" i="20"/>
  <c r="AA52" i="19"/>
  <c r="AS81" i="20"/>
  <c r="AA65" i="19"/>
  <c r="AS83" i="20"/>
  <c r="AA67" i="19"/>
  <c r="AS77" i="20"/>
  <c r="AA61" i="19"/>
  <c r="AS85" i="20"/>
  <c r="AA69" i="19"/>
  <c r="AS70" i="20"/>
  <c r="AA53" i="19"/>
  <c r="AA70" i="19"/>
  <c r="AS67" i="20"/>
  <c r="AA50" i="19"/>
  <c r="AS5" i="20"/>
  <c r="AA9" i="19"/>
  <c r="AA11" i="19"/>
  <c r="AS79" i="20"/>
  <c r="AA63" i="19"/>
  <c r="AS68" i="20"/>
  <c r="AA51" i="19"/>
  <c r="AS66" i="20"/>
  <c r="AA49" i="19"/>
  <c r="AS82" i="20"/>
  <c r="AA66" i="19"/>
  <c r="AS13" i="20"/>
  <c r="AA17" i="19"/>
  <c r="AL67" i="17"/>
  <c r="AL77" i="17"/>
  <c r="AL63" i="17"/>
  <c r="AK68" i="17"/>
  <c r="AM30" i="17"/>
  <c r="AO30" i="17" s="1"/>
  <c r="AL31" i="17"/>
  <c r="AM36" i="17"/>
  <c r="AO36" i="17" s="1"/>
  <c r="AL37" i="17"/>
  <c r="AM54" i="17"/>
  <c r="AO54" i="17" s="1"/>
  <c r="AK56" i="17"/>
  <c r="AK26" i="17"/>
  <c r="AL42" i="17"/>
  <c r="AL64" i="17"/>
  <c r="AK25" i="17"/>
  <c r="AK18" i="17"/>
  <c r="AM6" i="17"/>
  <c r="AN6" i="17" s="1"/>
  <c r="AU6" i="17" s="1"/>
  <c r="AJ28" i="17"/>
  <c r="AK80" i="17"/>
  <c r="AK35" i="17"/>
  <c r="AK58" i="17"/>
  <c r="AK62" i="17"/>
  <c r="AL80" i="17"/>
  <c r="AL75" i="17"/>
  <c r="AK12" i="17"/>
  <c r="AK51" i="17"/>
  <c r="AJ46" i="17"/>
  <c r="AJ50" i="17"/>
  <c r="AL61" i="17"/>
  <c r="AM62" i="17"/>
  <c r="AN62" i="17" s="1"/>
  <c r="AJ64" i="17"/>
  <c r="AK66" i="17"/>
  <c r="AK72" i="17"/>
  <c r="AM42" i="17"/>
  <c r="AO42" i="17" s="1"/>
  <c r="AJ22" i="17"/>
  <c r="AJ62" i="17"/>
  <c r="AJ71" i="17"/>
  <c r="AL72" i="17"/>
  <c r="AJ78" i="17"/>
  <c r="AJ6" i="17"/>
  <c r="AJ17" i="17"/>
  <c r="AL43" i="17"/>
  <c r="AM44" i="17"/>
  <c r="AN44" i="17" s="1"/>
  <c r="AL51" i="17"/>
  <c r="AM53" i="17"/>
  <c r="AO53" i="17" s="1"/>
  <c r="AK63" i="17"/>
  <c r="AJ65" i="17"/>
  <c r="AK78" i="17"/>
  <c r="AL87" i="17"/>
  <c r="AL10" i="17"/>
  <c r="AK23" i="17"/>
  <c r="AL28" i="17"/>
  <c r="AJ34" i="17"/>
  <c r="AK49" i="17"/>
  <c r="AJ61" i="17"/>
  <c r="AL62" i="17"/>
  <c r="AL78" i="17"/>
  <c r="AJ79" i="17"/>
  <c r="AM88" i="17"/>
  <c r="AO88" i="17" s="1"/>
  <c r="AJ5" i="17"/>
  <c r="AM8" i="17"/>
  <c r="AO8" i="17" s="1"/>
  <c r="AK22" i="17"/>
  <c r="AJ37" i="17"/>
  <c r="AJ40" i="17"/>
  <c r="AJ48" i="17"/>
  <c r="AJ52" i="17"/>
  <c r="AK57" i="17"/>
  <c r="AK64" i="17"/>
  <c r="AJ66" i="17"/>
  <c r="AL27" i="17"/>
  <c r="AK33" i="17"/>
  <c r="AK84" i="17"/>
  <c r="AM25" i="17"/>
  <c r="AO25" i="17" s="1"/>
  <c r="AK52" i="17"/>
  <c r="AJ60" i="17"/>
  <c r="N89" i="17"/>
  <c r="N92" i="17" s="1"/>
  <c r="AL74" i="17"/>
  <c r="AL79" i="17"/>
  <c r="AJ85" i="17"/>
  <c r="AK19" i="17"/>
  <c r="AJ25" i="17"/>
  <c r="AK34" i="17"/>
  <c r="AL35" i="17"/>
  <c r="AJ51" i="17"/>
  <c r="AM71" i="17"/>
  <c r="AO71" i="17" s="1"/>
  <c r="AM75" i="17"/>
  <c r="AO75" i="17" s="1"/>
  <c r="AJ80" i="17"/>
  <c r="AM31" i="17"/>
  <c r="AO31" i="17" s="1"/>
  <c r="AL49" i="17"/>
  <c r="AL56" i="17"/>
  <c r="AK60" i="17"/>
  <c r="AJ63" i="17"/>
  <c r="AJ67" i="17"/>
  <c r="AK7" i="17"/>
  <c r="AK14" i="17"/>
  <c r="AK20" i="17"/>
  <c r="AJ31" i="17"/>
  <c r="AM76" i="17"/>
  <c r="AO76" i="17" s="1"/>
  <c r="AJ7" i="17"/>
  <c r="AM12" i="17"/>
  <c r="AO12" i="17" s="1"/>
  <c r="J89" i="17"/>
  <c r="J92" i="17" s="1"/>
  <c r="AL20" i="17"/>
  <c r="AJ26" i="17"/>
  <c r="AK28" i="17"/>
  <c r="AK29" i="17"/>
  <c r="AM32" i="17"/>
  <c r="AO32" i="17" s="1"/>
  <c r="AK36" i="17"/>
  <c r="AL44" i="17"/>
  <c r="AK50" i="17"/>
  <c r="AM52" i="17"/>
  <c r="AO52" i="17" s="1"/>
  <c r="AK54" i="17"/>
  <c r="AJ58" i="17"/>
  <c r="AL59" i="17"/>
  <c r="AL68" i="17"/>
  <c r="AJ69" i="17"/>
  <c r="AL71" i="17"/>
  <c r="AJ81" i="17"/>
  <c r="AM83" i="17"/>
  <c r="AN83" i="17" s="1"/>
  <c r="AL88" i="17"/>
  <c r="AQ11" i="20"/>
  <c r="AO89" i="20"/>
  <c r="AJ13" i="17"/>
  <c r="AM16" i="17"/>
  <c r="AO16" i="17" s="1"/>
  <c r="AL17" i="17"/>
  <c r="AJ18" i="17"/>
  <c r="AM22" i="17"/>
  <c r="AO22" i="17" s="1"/>
  <c r="AM24" i="17"/>
  <c r="AO24" i="17" s="1"/>
  <c r="AL25" i="17"/>
  <c r="AL36" i="17"/>
  <c r="AM41" i="17"/>
  <c r="AO41" i="17" s="1"/>
  <c r="AM43" i="17"/>
  <c r="AO43" i="17" s="1"/>
  <c r="AK48" i="17"/>
  <c r="AL54" i="17"/>
  <c r="AJ55" i="17"/>
  <c r="AM60" i="17"/>
  <c r="AO60" i="17" s="1"/>
  <c r="AM72" i="17"/>
  <c r="AO72" i="17" s="1"/>
  <c r="AM73" i="17"/>
  <c r="AN73" i="17" s="1"/>
  <c r="AU73" i="17" s="1"/>
  <c r="AL76" i="17"/>
  <c r="AK85" i="17"/>
  <c r="AQ8" i="20"/>
  <c r="AQ12" i="20"/>
  <c r="AB89" i="17"/>
  <c r="AB92" i="17" s="1"/>
  <c r="AL12" i="17"/>
  <c r="AM15" i="17"/>
  <c r="AO15" i="17" s="1"/>
  <c r="AK16" i="17"/>
  <c r="AM18" i="17"/>
  <c r="AO18" i="17" s="1"/>
  <c r="AM20" i="17"/>
  <c r="AO20" i="17" s="1"/>
  <c r="AJ23" i="17"/>
  <c r="AJ35" i="17"/>
  <c r="AK37" i="17"/>
  <c r="AK38" i="17"/>
  <c r="AM46" i="17"/>
  <c r="AK53" i="17"/>
  <c r="AL55" i="17"/>
  <c r="AM64" i="17"/>
  <c r="AN64" i="17" s="1"/>
  <c r="AK69" i="17"/>
  <c r="AK73" i="17"/>
  <c r="AJ77" i="17"/>
  <c r="AK81" i="17"/>
  <c r="AJ84" i="17"/>
  <c r="AL85" i="17"/>
  <c r="AQ46" i="20"/>
  <c r="AS46" i="20" s="1"/>
  <c r="AK6" i="17"/>
  <c r="AL7" i="17"/>
  <c r="AM11" i="17"/>
  <c r="AO11" i="17" s="1"/>
  <c r="AJ12" i="17"/>
  <c r="AK13" i="17"/>
  <c r="AM21" i="17"/>
  <c r="AO21" i="17" s="1"/>
  <c r="AL22" i="17"/>
  <c r="AL24" i="17"/>
  <c r="AM29" i="17"/>
  <c r="AO29" i="17" s="1"/>
  <c r="AM33" i="17"/>
  <c r="AO33" i="17" s="1"/>
  <c r="AL34" i="17"/>
  <c r="AL38" i="17"/>
  <c r="AK44" i="17"/>
  <c r="AM47" i="17"/>
  <c r="AO47" i="17" s="1"/>
  <c r="AL53" i="17"/>
  <c r="AM56" i="17"/>
  <c r="AN56" i="17" s="1"/>
  <c r="AM57" i="17"/>
  <c r="AO57" i="17" s="1"/>
  <c r="AL58" i="17"/>
  <c r="AL65" i="17"/>
  <c r="AL69" i="17"/>
  <c r="AL73" i="17"/>
  <c r="AJ74" i="17"/>
  <c r="AM77" i="17"/>
  <c r="AN77" i="17" s="1"/>
  <c r="AL84" i="17"/>
  <c r="AM86" i="17"/>
  <c r="AN86" i="17" s="1"/>
  <c r="AU86" i="17" s="1"/>
  <c r="AK17" i="17"/>
  <c r="AL18" i="17"/>
  <c r="AM50" i="17"/>
  <c r="AO50" i="17" s="1"/>
  <c r="AL66" i="17"/>
  <c r="AM67" i="17"/>
  <c r="AN67" i="17" s="1"/>
  <c r="AJ73" i="17"/>
  <c r="AK77" i="17"/>
  <c r="AK82" i="17"/>
  <c r="AM85" i="17"/>
  <c r="AO85" i="17" s="1"/>
  <c r="AK86" i="17"/>
  <c r="AQ10" i="20"/>
  <c r="AL5" i="17"/>
  <c r="AL8" i="17"/>
  <c r="AM10" i="17"/>
  <c r="AN10" i="17" s="1"/>
  <c r="AL11" i="17"/>
  <c r="AL21" i="17"/>
  <c r="AJ32" i="17"/>
  <c r="AL33" i="17"/>
  <c r="AM38" i="17"/>
  <c r="AO38" i="17" s="1"/>
  <c r="AK42" i="17"/>
  <c r="AL47" i="17"/>
  <c r="AM51" i="17"/>
  <c r="AN51" i="17" s="1"/>
  <c r="AU51" i="17" s="1"/>
  <c r="AL52" i="17"/>
  <c r="AJ56" i="17"/>
  <c r="AL57" i="17"/>
  <c r="AM61" i="17"/>
  <c r="AO61" i="17" s="1"/>
  <c r="AJ68" i="17"/>
  <c r="AM70" i="17"/>
  <c r="AN70" i="17" s="1"/>
  <c r="AK74" i="17"/>
  <c r="AL82" i="17"/>
  <c r="AJ83" i="17"/>
  <c r="AL86" i="17"/>
  <c r="AJ87" i="17"/>
  <c r="AQ4" i="20"/>
  <c r="Z8" i="26" s="1"/>
  <c r="AJ41" i="17"/>
  <c r="AJ43" i="17"/>
  <c r="AM48" i="17"/>
  <c r="AO48" i="17" s="1"/>
  <c r="AJ57" i="17"/>
  <c r="AJ86" i="17"/>
  <c r="AQ71" i="20"/>
  <c r="L89" i="17"/>
  <c r="L92" i="17" s="1"/>
  <c r="AM13" i="17"/>
  <c r="AL16" i="17"/>
  <c r="AJ20" i="17"/>
  <c r="AL23" i="17"/>
  <c r="AM26" i="17"/>
  <c r="AO26" i="17" s="1"/>
  <c r="AK30" i="17"/>
  <c r="AM39" i="17"/>
  <c r="AO39" i="17" s="1"/>
  <c r="AL40" i="17"/>
  <c r="AM45" i="17"/>
  <c r="AO45" i="17" s="1"/>
  <c r="AL46" i="17"/>
  <c r="AM65" i="17"/>
  <c r="AO65" i="17" s="1"/>
  <c r="AM69" i="17"/>
  <c r="AO69" i="17" s="1"/>
  <c r="AM80" i="17"/>
  <c r="AO80" i="17" s="1"/>
  <c r="AK83" i="17"/>
  <c r="AK87" i="17"/>
  <c r="AQ9" i="20"/>
  <c r="AF89" i="17"/>
  <c r="AF92" i="17" s="1"/>
  <c r="AK4" i="17"/>
  <c r="V89" i="17"/>
  <c r="V92" i="17" s="1"/>
  <c r="AH89" i="17"/>
  <c r="AH92" i="17" s="1"/>
  <c r="AK5" i="17"/>
  <c r="AL6" i="17"/>
  <c r="AK11" i="17"/>
  <c r="AM14" i="17"/>
  <c r="AO14" i="17" s="1"/>
  <c r="H89" i="17"/>
  <c r="H92" i="17" s="1"/>
  <c r="AM19" i="17"/>
  <c r="AO19" i="17" s="1"/>
  <c r="AJ29" i="17"/>
  <c r="AL30" i="17"/>
  <c r="AK39" i="17"/>
  <c r="AK45" i="17"/>
  <c r="AJ53" i="17"/>
  <c r="AM55" i="17"/>
  <c r="AO55" i="17" s="1"/>
  <c r="AK67" i="17"/>
  <c r="AJ72" i="17"/>
  <c r="AQ44" i="20"/>
  <c r="AS44" i="20" s="1"/>
  <c r="AQ14" i="20"/>
  <c r="AQ80" i="20"/>
  <c r="AG89" i="17"/>
  <c r="AG92" i="17" s="1"/>
  <c r="AK15" i="17"/>
  <c r="AM23" i="17"/>
  <c r="AO23" i="17" s="1"/>
  <c r="AM27" i="17"/>
  <c r="AO27" i="17" s="1"/>
  <c r="AK31" i="17"/>
  <c r="AK32" i="17"/>
  <c r="AM35" i="17"/>
  <c r="AO35" i="17" s="1"/>
  <c r="AM37" i="17"/>
  <c r="AO37" i="17" s="1"/>
  <c r="AL39" i="17"/>
  <c r="AJ44" i="17"/>
  <c r="AL45" i="17"/>
  <c r="AJ49" i="17"/>
  <c r="AL50" i="17"/>
  <c r="AM63" i="17"/>
  <c r="AO63" i="17" s="1"/>
  <c r="AM79" i="17"/>
  <c r="AO79" i="17" s="1"/>
  <c r="AQ78" i="20"/>
  <c r="W89" i="17"/>
  <c r="W92" i="17" s="1"/>
  <c r="AL9" i="17"/>
  <c r="AJ10" i="17"/>
  <c r="AL14" i="17"/>
  <c r="AL15" i="17"/>
  <c r="AL19" i="17"/>
  <c r="AK27" i="17"/>
  <c r="AL32" i="17"/>
  <c r="AJ38" i="17"/>
  <c r="AK40" i="17"/>
  <c r="AK41" i="17"/>
  <c r="AJ45" i="17"/>
  <c r="AK46" i="17"/>
  <c r="AM49" i="17"/>
  <c r="AO49" i="17" s="1"/>
  <c r="AJ54" i="17"/>
  <c r="AM59" i="17"/>
  <c r="AN59" i="17" s="1"/>
  <c r="AK61" i="17"/>
  <c r="AM68" i="17"/>
  <c r="AO68" i="17" s="1"/>
  <c r="AJ70" i="17"/>
  <c r="AJ82" i="17"/>
  <c r="AQ54" i="20"/>
  <c r="AS54" i="20" s="1"/>
  <c r="AQ84" i="20"/>
  <c r="AM78" i="17"/>
  <c r="AM87" i="17"/>
  <c r="X89" i="17"/>
  <c r="X92" i="17" s="1"/>
  <c r="Y89" i="17"/>
  <c r="Y92" i="17" s="1"/>
  <c r="AJ9" i="17"/>
  <c r="F89" i="17"/>
  <c r="F92" i="17" s="1"/>
  <c r="AK21" i="17"/>
  <c r="AJ21" i="17"/>
  <c r="AK24" i="17"/>
  <c r="AJ24" i="17"/>
  <c r="AL29" i="17"/>
  <c r="AM34" i="17"/>
  <c r="AO34" i="17" s="1"/>
  <c r="Z89" i="17"/>
  <c r="Z92" i="17" s="1"/>
  <c r="AM9" i="17"/>
  <c r="AL13" i="17"/>
  <c r="AM66" i="17"/>
  <c r="AK75" i="17"/>
  <c r="AJ75" i="17"/>
  <c r="AM17" i="17"/>
  <c r="AO17" i="17" s="1"/>
  <c r="AM81" i="17"/>
  <c r="AL83" i="17"/>
  <c r="AA89" i="17"/>
  <c r="AA92" i="17" s="1"/>
  <c r="AK9" i="17"/>
  <c r="U89" i="17"/>
  <c r="U92" i="17" s="1"/>
  <c r="AK10" i="17"/>
  <c r="AL26" i="17"/>
  <c r="AM84" i="17"/>
  <c r="AJ8" i="17"/>
  <c r="AC89" i="17"/>
  <c r="AC92" i="17" s="1"/>
  <c r="AM7" i="17"/>
  <c r="AM74" i="17"/>
  <c r="AK76" i="17"/>
  <c r="AJ76" i="17"/>
  <c r="AP89" i="17"/>
  <c r="M89" i="17"/>
  <c r="M92" i="17" s="1"/>
  <c r="AD89" i="17"/>
  <c r="AM5" i="17"/>
  <c r="AJ14" i="17"/>
  <c r="AJ15" i="17"/>
  <c r="AK43" i="17"/>
  <c r="AM58" i="17"/>
  <c r="AJ11" i="17"/>
  <c r="AJ4" i="17"/>
  <c r="Q89" i="17"/>
  <c r="Q92" i="17" s="1"/>
  <c r="AM28" i="17"/>
  <c r="AO28" i="17" s="1"/>
  <c r="AM40" i="17"/>
  <c r="AO40" i="17" s="1"/>
  <c r="AK47" i="17"/>
  <c r="AJ47" i="17"/>
  <c r="AE89" i="17"/>
  <c r="AE92" i="17" s="1"/>
  <c r="R89" i="17"/>
  <c r="R92" i="17" s="1"/>
  <c r="AM4" i="17"/>
  <c r="AL48" i="17"/>
  <c r="AK59" i="17"/>
  <c r="AJ59" i="17"/>
  <c r="AK70" i="17"/>
  <c r="AL81" i="17"/>
  <c r="AK8" i="17"/>
  <c r="AL41" i="17"/>
  <c r="AL60" i="17"/>
  <c r="AK71" i="17"/>
  <c r="AM82" i="17"/>
  <c r="AK88" i="17"/>
  <c r="AJ88" i="17"/>
  <c r="AL4" i="17"/>
  <c r="P89" i="17"/>
  <c r="P92" i="17" s="1"/>
  <c r="AI63" i="17"/>
  <c r="AJ19" i="17"/>
  <c r="AI4" i="17"/>
  <c r="AJ27" i="17"/>
  <c r="AJ30" i="17"/>
  <c r="AJ33" i="17"/>
  <c r="AJ36" i="17"/>
  <c r="AJ39" i="17"/>
  <c r="AJ42" i="17"/>
  <c r="AJ16" i="17"/>
  <c r="AA10" i="19" l="1"/>
  <c r="AS6" i="20"/>
  <c r="Z10" i="26"/>
  <c r="AA10" i="26" s="1"/>
  <c r="Z11" i="24"/>
  <c r="AA11" i="24" s="1"/>
  <c r="Z13" i="24"/>
  <c r="AA13" i="24" s="1"/>
  <c r="Z13" i="26"/>
  <c r="AA13" i="26" s="1"/>
  <c r="Z68" i="24"/>
  <c r="AA68" i="24" s="1"/>
  <c r="Z68" i="26"/>
  <c r="AA68" i="26" s="1"/>
  <c r="Z64" i="24"/>
  <c r="AA64" i="24" s="1"/>
  <c r="Z64" i="26"/>
  <c r="AA64" i="26" s="1"/>
  <c r="Z18" i="24"/>
  <c r="AA18" i="24" s="1"/>
  <c r="Z18" i="26"/>
  <c r="AA18" i="26" s="1"/>
  <c r="Z15" i="24"/>
  <c r="AA15" i="24" s="1"/>
  <c r="Z15" i="26"/>
  <c r="AA15" i="26" s="1"/>
  <c r="Z55" i="24"/>
  <c r="AA55" i="24" s="1"/>
  <c r="Z55" i="26"/>
  <c r="AA55" i="26" s="1"/>
  <c r="AA8" i="26"/>
  <c r="Z16" i="24"/>
  <c r="AA16" i="24" s="1"/>
  <c r="Z16" i="26"/>
  <c r="AA16" i="26" s="1"/>
  <c r="Z62" i="24"/>
  <c r="AA62" i="24" s="1"/>
  <c r="Z62" i="26"/>
  <c r="AA62" i="26" s="1"/>
  <c r="Z12" i="24"/>
  <c r="AA12" i="24" s="1"/>
  <c r="Z12" i="26"/>
  <c r="AA12" i="26" s="1"/>
  <c r="Z14" i="24"/>
  <c r="AA14" i="24" s="1"/>
  <c r="Z14" i="26"/>
  <c r="AA14" i="26" s="1"/>
  <c r="AO62" i="17"/>
  <c r="AA8" i="19"/>
  <c r="Z8" i="24"/>
  <c r="AO44" i="17"/>
  <c r="AO77" i="17"/>
  <c r="AN54" i="17"/>
  <c r="AU54" i="17" s="1"/>
  <c r="AN49" i="17"/>
  <c r="AU49" i="17" s="1"/>
  <c r="AN53" i="17"/>
  <c r="AQ53" i="17" s="1"/>
  <c r="AT53" i="17" s="1"/>
  <c r="AN69" i="17"/>
  <c r="AU69" i="17" s="1"/>
  <c r="AN47" i="17"/>
  <c r="AU47" i="17" s="1"/>
  <c r="AN52" i="17"/>
  <c r="AQ52" i="17" s="1"/>
  <c r="AT52" i="17" s="1"/>
  <c r="AN75" i="17"/>
  <c r="AQ75" i="17" s="1"/>
  <c r="AT75" i="17" s="1"/>
  <c r="AO10" i="17"/>
  <c r="AO70" i="17"/>
  <c r="AO51" i="17"/>
  <c r="AN55" i="17"/>
  <c r="AU55" i="17" s="1"/>
  <c r="AN65" i="17"/>
  <c r="AU65" i="17" s="1"/>
  <c r="AN60" i="17"/>
  <c r="AQ60" i="17" s="1"/>
  <c r="AT60" i="17" s="1"/>
  <c r="AN12" i="17"/>
  <c r="AU12" i="17" s="1"/>
  <c r="AN45" i="17"/>
  <c r="AU45" i="17" s="1"/>
  <c r="AQ6" i="17"/>
  <c r="AT6" i="17" s="1"/>
  <c r="AO6" i="17"/>
  <c r="AQ73" i="17"/>
  <c r="AT73" i="17" s="1"/>
  <c r="AO73" i="17"/>
  <c r="AN72" i="17"/>
  <c r="AU72" i="17" s="1"/>
  <c r="AS80" i="20"/>
  <c r="AA64" i="19"/>
  <c r="AS14" i="20"/>
  <c r="AA18" i="19"/>
  <c r="AS10" i="20"/>
  <c r="AA14" i="19"/>
  <c r="AS71" i="20"/>
  <c r="AA55" i="19"/>
  <c r="AS78" i="20"/>
  <c r="AA62" i="19"/>
  <c r="AS11" i="20"/>
  <c r="AA15" i="19"/>
  <c r="AS9" i="20"/>
  <c r="AA13" i="19"/>
  <c r="AS84" i="20"/>
  <c r="AA68" i="19"/>
  <c r="AS12" i="20"/>
  <c r="AA16" i="19"/>
  <c r="AS8" i="20"/>
  <c r="AA12" i="19"/>
  <c r="AO67" i="17"/>
  <c r="AN8" i="17"/>
  <c r="AQ8" i="17" s="1"/>
  <c r="AT8" i="17" s="1"/>
  <c r="AN71" i="17"/>
  <c r="AQ71" i="17" s="1"/>
  <c r="AT71" i="17" s="1"/>
  <c r="AQ51" i="17"/>
  <c r="AT51" i="17" s="1"/>
  <c r="AN61" i="17"/>
  <c r="AU61" i="17" s="1"/>
  <c r="AN79" i="17"/>
  <c r="AU79" i="17" s="1"/>
  <c r="AN63" i="17"/>
  <c r="AU63" i="17" s="1"/>
  <c r="AN88" i="17"/>
  <c r="AQ88" i="17" s="1"/>
  <c r="AT88" i="17" s="1"/>
  <c r="AO56" i="17"/>
  <c r="AO83" i="17"/>
  <c r="AN11" i="17"/>
  <c r="AQ11" i="17" s="1"/>
  <c r="AT11" i="17" s="1"/>
  <c r="AN50" i="17"/>
  <c r="AU50" i="17" s="1"/>
  <c r="AN76" i="17"/>
  <c r="AQ76" i="17" s="1"/>
  <c r="AT76" i="17" s="1"/>
  <c r="AN68" i="17"/>
  <c r="AQ68" i="17" s="1"/>
  <c r="AT68" i="17" s="1"/>
  <c r="AN15" i="17"/>
  <c r="AQ15" i="17" s="1"/>
  <c r="AT15" i="17" s="1"/>
  <c r="AO64" i="17"/>
  <c r="AN57" i="17"/>
  <c r="AU57" i="17" s="1"/>
  <c r="AN85" i="17"/>
  <c r="AU85" i="17" s="1"/>
  <c r="AN43" i="17"/>
  <c r="AU43" i="17" s="1"/>
  <c r="AO59" i="17"/>
  <c r="AO13" i="17"/>
  <c r="AN13" i="17"/>
  <c r="AS4" i="20"/>
  <c r="AN48" i="17"/>
  <c r="AQ48" i="17" s="1"/>
  <c r="AT48" i="17" s="1"/>
  <c r="AK89" i="17"/>
  <c r="AN80" i="17"/>
  <c r="AU80" i="17" s="1"/>
  <c r="AN14" i="17"/>
  <c r="AQ14" i="17" s="1"/>
  <c r="AT14" i="17" s="1"/>
  <c r="AO46" i="17"/>
  <c r="AN46" i="17"/>
  <c r="AO86" i="17"/>
  <c r="AQ86" i="17"/>
  <c r="AT86" i="17" s="1"/>
  <c r="AN7" i="17"/>
  <c r="AO7" i="17"/>
  <c r="AU62" i="17"/>
  <c r="AQ62" i="17"/>
  <c r="AT62" i="17" s="1"/>
  <c r="AO9" i="17"/>
  <c r="AN9" i="17"/>
  <c r="AN81" i="17"/>
  <c r="AO81" i="17"/>
  <c r="AU83" i="17"/>
  <c r="AQ83" i="17"/>
  <c r="AT83" i="17" s="1"/>
  <c r="AU44" i="17"/>
  <c r="AQ44" i="17"/>
  <c r="AT44" i="17" s="1"/>
  <c r="AO58" i="17"/>
  <c r="AN58" i="17"/>
  <c r="AO87" i="17"/>
  <c r="AN87" i="17"/>
  <c r="AO82" i="17"/>
  <c r="AN82" i="17"/>
  <c r="AU70" i="17"/>
  <c r="AQ70" i="17"/>
  <c r="AT70" i="17" s="1"/>
  <c r="AJ89" i="17"/>
  <c r="AO84" i="17"/>
  <c r="AN84" i="17"/>
  <c r="AL89" i="17"/>
  <c r="AO66" i="17"/>
  <c r="AN66" i="17"/>
  <c r="AO78" i="17"/>
  <c r="AN78" i="17"/>
  <c r="AQ56" i="17"/>
  <c r="AT56" i="17" s="1"/>
  <c r="AU56" i="17"/>
  <c r="AI89" i="17"/>
  <c r="AU64" i="17"/>
  <c r="AQ64" i="17"/>
  <c r="AT64" i="17" s="1"/>
  <c r="AO5" i="17"/>
  <c r="AN5" i="17"/>
  <c r="AO4" i="17"/>
  <c r="AN4" i="17"/>
  <c r="AM89" i="17"/>
  <c r="AM92" i="17" s="1"/>
  <c r="AH94" i="17"/>
  <c r="AH96" i="17" s="1"/>
  <c r="AD92" i="17"/>
  <c r="AO74" i="17"/>
  <c r="AN74" i="17"/>
  <c r="AQ77" i="17"/>
  <c r="AT77" i="17" s="1"/>
  <c r="AU77" i="17"/>
  <c r="AU59" i="17"/>
  <c r="AQ59" i="17"/>
  <c r="AT59" i="17" s="1"/>
  <c r="AQ10" i="17"/>
  <c r="AT10" i="17" s="1"/>
  <c r="AU10" i="17"/>
  <c r="AQ67" i="17"/>
  <c r="AT67" i="17" s="1"/>
  <c r="AU67" i="17"/>
  <c r="AQ54" i="17" l="1"/>
  <c r="AT54" i="17" s="1"/>
  <c r="AU75" i="17"/>
  <c r="AQ65" i="17"/>
  <c r="AT65" i="17" s="1"/>
  <c r="AA8" i="24"/>
  <c r="AQ49" i="17"/>
  <c r="AT49" i="17" s="1"/>
  <c r="AU60" i="17"/>
  <c r="AQ47" i="17"/>
  <c r="AT47" i="17" s="1"/>
  <c r="AU52" i="17"/>
  <c r="AU71" i="17"/>
  <c r="AU15" i="17"/>
  <c r="AQ69" i="17"/>
  <c r="AT69" i="17" s="1"/>
  <c r="AQ61" i="17"/>
  <c r="AT61" i="17" s="1"/>
  <c r="AU53" i="17"/>
  <c r="AQ45" i="17"/>
  <c r="AT45" i="17" s="1"/>
  <c r="AQ63" i="17"/>
  <c r="AT63" i="17" s="1"/>
  <c r="AQ12" i="17"/>
  <c r="AT12" i="17" s="1"/>
  <c r="AQ72" i="17"/>
  <c r="AT72" i="17" s="1"/>
  <c r="AU88" i="17"/>
  <c r="AQ55" i="17"/>
  <c r="AT55" i="17" s="1"/>
  <c r="AU11" i="17"/>
  <c r="AQ85" i="17"/>
  <c r="AT85" i="17" s="1"/>
  <c r="AQ43" i="17"/>
  <c r="AT43" i="17" s="1"/>
  <c r="AQ79" i="17"/>
  <c r="AT79" i="17" s="1"/>
  <c r="AU8" i="17"/>
  <c r="AU48" i="17"/>
  <c r="AQ57" i="17"/>
  <c r="AT57" i="17" s="1"/>
  <c r="AU76" i="17"/>
  <c r="AQ50" i="17"/>
  <c r="AT50" i="17" s="1"/>
  <c r="AU68" i="17"/>
  <c r="AU14" i="17"/>
  <c r="AO89" i="17"/>
  <c r="AO92" i="17" s="1"/>
  <c r="AQ80" i="17"/>
  <c r="AT80" i="17" s="1"/>
  <c r="AU46" i="17"/>
  <c r="AQ46" i="17"/>
  <c r="AT46" i="17" s="1"/>
  <c r="AQ13" i="17"/>
  <c r="AT13" i="17" s="1"/>
  <c r="AU13" i="17"/>
  <c r="AU5" i="17"/>
  <c r="AQ5" i="17"/>
  <c r="AT5" i="17" s="1"/>
  <c r="AQ82" i="17"/>
  <c r="AT82" i="17" s="1"/>
  <c r="AU82" i="17"/>
  <c r="AU84" i="17"/>
  <c r="AQ84" i="17"/>
  <c r="AT84" i="17" s="1"/>
  <c r="AQ78" i="17"/>
  <c r="AT78" i="17" s="1"/>
  <c r="AU78" i="17"/>
  <c r="AU4" i="17"/>
  <c r="AQ4" i="17"/>
  <c r="AU87" i="17"/>
  <c r="AQ87" i="17"/>
  <c r="AT87" i="17" s="1"/>
  <c r="AU74" i="17"/>
  <c r="AQ74" i="17"/>
  <c r="AT74" i="17" s="1"/>
  <c r="AU66" i="17"/>
  <c r="AQ66" i="17"/>
  <c r="AT66" i="17" s="1"/>
  <c r="AQ81" i="17"/>
  <c r="AT81" i="17" s="1"/>
  <c r="AU81" i="17"/>
  <c r="AU58" i="17"/>
  <c r="AQ58" i="17"/>
  <c r="AT58" i="17" s="1"/>
  <c r="AQ7" i="17"/>
  <c r="AT7" i="17" s="1"/>
  <c r="AU7" i="17"/>
  <c r="AU9" i="17"/>
  <c r="AQ9" i="17"/>
  <c r="AT9" i="17" s="1"/>
  <c r="AT4" i="17" l="1"/>
  <c r="Y9" i="1" l="1"/>
  <c r="Y10" i="1"/>
  <c r="Y11" i="1"/>
  <c r="Y13" i="1"/>
  <c r="Y14" i="1"/>
  <c r="Y15" i="1"/>
  <c r="Y16" i="1"/>
  <c r="Y17" i="1"/>
  <c r="Y18" i="1"/>
  <c r="Y19" i="1"/>
  <c r="Y20" i="1"/>
  <c r="Y21" i="1"/>
  <c r="Y22" i="1"/>
  <c r="Y23" i="1"/>
  <c r="Y24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8" i="1"/>
  <c r="L25" i="1" l="1"/>
  <c r="Y25" i="1" s="1"/>
  <c r="K25" i="1"/>
  <c r="K12" i="1"/>
  <c r="L12" i="1"/>
  <c r="Y12" i="1" l="1"/>
  <c r="H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G73" i="1"/>
  <c r="F73" i="1"/>
  <c r="E73" i="1"/>
  <c r="D73" i="1"/>
  <c r="Y73" i="1" l="1"/>
  <c r="Y75" i="1" l="1"/>
  <c r="X63" i="15" l="1"/>
  <c r="X64" i="15"/>
  <c r="X65" i="15"/>
  <c r="X62" i="15"/>
  <c r="W63" i="15"/>
  <c r="W64" i="15"/>
  <c r="W65" i="15"/>
  <c r="W62" i="15"/>
  <c r="AN21" i="15"/>
  <c r="V17" i="15" l="1"/>
  <c r="V18" i="15"/>
  <c r="V19" i="15"/>
  <c r="V20" i="15"/>
  <c r="V21" i="15"/>
  <c r="V22" i="15"/>
  <c r="V23" i="15"/>
  <c r="V24" i="15"/>
  <c r="V25" i="15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16" i="15"/>
  <c r="Z17" i="15"/>
  <c r="Z18" i="15"/>
  <c r="Z19" i="15"/>
  <c r="Z20" i="15"/>
  <c r="Z21" i="15"/>
  <c r="Z22" i="15"/>
  <c r="Z23" i="15"/>
  <c r="Z24" i="15"/>
  <c r="Z25" i="15"/>
  <c r="Z26" i="15"/>
  <c r="Z27" i="15"/>
  <c r="Z28" i="15"/>
  <c r="Z29" i="15"/>
  <c r="Z30" i="15"/>
  <c r="Z31" i="15"/>
  <c r="Z32" i="15"/>
  <c r="Z33" i="15"/>
  <c r="Z34" i="15"/>
  <c r="Z35" i="15"/>
  <c r="Z36" i="15"/>
  <c r="Z37" i="15"/>
  <c r="Z38" i="15"/>
  <c r="Z39" i="15"/>
  <c r="Z40" i="15"/>
  <c r="Z41" i="15"/>
  <c r="Z42" i="15"/>
  <c r="Z16" i="15"/>
  <c r="Q87" i="15"/>
  <c r="AI87" i="15" s="1"/>
  <c r="P87" i="15"/>
  <c r="P17" i="15"/>
  <c r="Q17" i="15"/>
  <c r="P18" i="15"/>
  <c r="Q18" i="15"/>
  <c r="P19" i="15"/>
  <c r="Q19" i="15"/>
  <c r="P20" i="15"/>
  <c r="Q20" i="15"/>
  <c r="P21" i="15"/>
  <c r="Q21" i="15"/>
  <c r="P22" i="15"/>
  <c r="Q22" i="15"/>
  <c r="P23" i="15"/>
  <c r="Q23" i="15"/>
  <c r="P24" i="15"/>
  <c r="Q24" i="15"/>
  <c r="P25" i="15"/>
  <c r="Q25" i="15"/>
  <c r="P26" i="15"/>
  <c r="Q26" i="15"/>
  <c r="P27" i="15"/>
  <c r="Q27" i="15"/>
  <c r="P28" i="15"/>
  <c r="Q28" i="15"/>
  <c r="P29" i="15"/>
  <c r="Q29" i="15"/>
  <c r="P30" i="15"/>
  <c r="Q30" i="15"/>
  <c r="P31" i="15"/>
  <c r="Q31" i="15"/>
  <c r="P32" i="15"/>
  <c r="Q32" i="15"/>
  <c r="P33" i="15"/>
  <c r="Q33" i="15"/>
  <c r="P34" i="15"/>
  <c r="Q34" i="15"/>
  <c r="P35" i="15"/>
  <c r="Q35" i="15"/>
  <c r="P36" i="15"/>
  <c r="Q36" i="15"/>
  <c r="P37" i="15"/>
  <c r="Q37" i="15"/>
  <c r="P38" i="15"/>
  <c r="Q38" i="15"/>
  <c r="P39" i="15"/>
  <c r="Q39" i="15"/>
  <c r="P40" i="15"/>
  <c r="Q40" i="15"/>
  <c r="P41" i="15"/>
  <c r="Q41" i="15"/>
  <c r="P42" i="15"/>
  <c r="Q42" i="15"/>
  <c r="Q16" i="15"/>
  <c r="P16" i="15"/>
  <c r="Q8" i="15"/>
  <c r="P8" i="15"/>
  <c r="AB88" i="15"/>
  <c r="AA88" i="15"/>
  <c r="Y88" i="15"/>
  <c r="X88" i="15"/>
  <c r="W88" i="15"/>
  <c r="U88" i="15"/>
  <c r="T88" i="15"/>
  <c r="S88" i="15"/>
  <c r="O88" i="15"/>
  <c r="N88" i="15"/>
  <c r="M88" i="15"/>
  <c r="L88" i="15"/>
  <c r="K88" i="15"/>
  <c r="J88" i="15"/>
  <c r="H88" i="15"/>
  <c r="F88" i="15"/>
  <c r="Z88" i="15" l="1"/>
  <c r="AN4" i="15"/>
  <c r="AN16" i="15"/>
  <c r="V88" i="15"/>
  <c r="I88" i="15"/>
  <c r="AJ87" i="15"/>
  <c r="AM87" i="15" s="1"/>
  <c r="AK87" i="15"/>
  <c r="E24" i="15"/>
  <c r="E88" i="15" s="1"/>
  <c r="G17" i="15" l="1"/>
  <c r="D17" i="15" s="1"/>
  <c r="G18" i="15"/>
  <c r="G19" i="15"/>
  <c r="G20" i="15"/>
  <c r="G21" i="15"/>
  <c r="G22" i="15"/>
  <c r="G23" i="15"/>
  <c r="G24" i="15"/>
  <c r="G25" i="15"/>
  <c r="G26" i="15"/>
  <c r="D26" i="15" s="1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16" i="15"/>
  <c r="G88" i="15" l="1"/>
  <c r="D16" i="15"/>
  <c r="AN87" i="15" l="1"/>
  <c r="AQ87" i="15" s="1"/>
  <c r="X90" i="15"/>
  <c r="G91" i="15"/>
  <c r="I91" i="15" s="1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5" i="15"/>
  <c r="D24" i="15"/>
  <c r="D23" i="15"/>
  <c r="D22" i="15"/>
  <c r="D21" i="15"/>
  <c r="D20" i="15"/>
  <c r="D19" i="15"/>
  <c r="D18" i="15"/>
  <c r="AI12" i="15"/>
  <c r="AI11" i="15"/>
  <c r="AI61" i="15" l="1"/>
  <c r="AK61" i="15" s="1"/>
  <c r="AI62" i="15"/>
  <c r="AI53" i="15"/>
  <c r="AJ53" i="15" s="1"/>
  <c r="AI54" i="15"/>
  <c r="AI49" i="15"/>
  <c r="AI16" i="15"/>
  <c r="AI66" i="15"/>
  <c r="AJ66" i="15" s="1"/>
  <c r="AM66" i="15" s="1"/>
  <c r="AQ66" i="15" s="1"/>
  <c r="AI13" i="15"/>
  <c r="AK13" i="15" s="1"/>
  <c r="AI78" i="15"/>
  <c r="AI44" i="15"/>
  <c r="D88" i="15"/>
  <c r="AI47" i="15"/>
  <c r="AI59" i="15"/>
  <c r="AK59" i="15" s="1"/>
  <c r="AI7" i="15"/>
  <c r="AK7" i="15" s="1"/>
  <c r="AG88" i="15"/>
  <c r="AD88" i="15"/>
  <c r="AH88" i="15"/>
  <c r="AE88" i="15"/>
  <c r="AO88" i="15"/>
  <c r="P88" i="15"/>
  <c r="AF88" i="15"/>
  <c r="AI72" i="15"/>
  <c r="AI82" i="15"/>
  <c r="AI55" i="15"/>
  <c r="AI67" i="15"/>
  <c r="AJ67" i="15" s="1"/>
  <c r="R88" i="15"/>
  <c r="AI79" i="15"/>
  <c r="AC88" i="15"/>
  <c r="AI6" i="15"/>
  <c r="AI9" i="15"/>
  <c r="AI14" i="15"/>
  <c r="AI45" i="15"/>
  <c r="AI57" i="15"/>
  <c r="AI69" i="15"/>
  <c r="AI84" i="15"/>
  <c r="O89" i="15"/>
  <c r="AI77" i="15"/>
  <c r="AI65" i="15"/>
  <c r="AI10" i="15"/>
  <c r="AI74" i="15"/>
  <c r="AK74" i="15" s="1"/>
  <c r="AI50" i="15"/>
  <c r="AI71" i="15"/>
  <c r="AI81" i="15"/>
  <c r="AI86" i="15"/>
  <c r="AI52" i="15"/>
  <c r="AI83" i="15"/>
  <c r="AI56" i="15"/>
  <c r="AI64" i="15"/>
  <c r="AI73" i="15"/>
  <c r="AI5" i="15"/>
  <c r="AI15" i="15"/>
  <c r="AI46" i="15"/>
  <c r="AI68" i="15"/>
  <c r="AI76" i="15"/>
  <c r="AI80" i="15"/>
  <c r="AI51" i="15"/>
  <c r="AI58" i="15"/>
  <c r="AI85" i="15"/>
  <c r="AI48" i="15"/>
  <c r="AI63" i="15"/>
  <c r="AI70" i="15"/>
  <c r="AK70" i="15" s="1"/>
  <c r="AI43" i="15"/>
  <c r="AI60" i="15"/>
  <c r="AI75" i="15"/>
  <c r="AK11" i="15"/>
  <c r="AJ11" i="15"/>
  <c r="AK12" i="15"/>
  <c r="AJ12" i="15"/>
  <c r="AI4" i="15"/>
  <c r="AK53" i="15" l="1"/>
  <c r="AJ13" i="15"/>
  <c r="AM13" i="15" s="1"/>
  <c r="AK66" i="15"/>
  <c r="AJ59" i="15"/>
  <c r="AM59" i="15" s="1"/>
  <c r="AQ59" i="15" s="1"/>
  <c r="AJ61" i="15"/>
  <c r="AM61" i="15" s="1"/>
  <c r="AQ61" i="15" s="1"/>
  <c r="AK47" i="15"/>
  <c r="AJ85" i="15"/>
  <c r="AM85" i="15" s="1"/>
  <c r="AK83" i="15"/>
  <c r="AJ84" i="15"/>
  <c r="AM84" i="15" s="1"/>
  <c r="AK82" i="15"/>
  <c r="AK4" i="15"/>
  <c r="AK58" i="15"/>
  <c r="AJ52" i="15"/>
  <c r="AJ69" i="15"/>
  <c r="AK72" i="15"/>
  <c r="AK44" i="15"/>
  <c r="AK51" i="15"/>
  <c r="AK86" i="15"/>
  <c r="AJ57" i="15"/>
  <c r="AJ78" i="15"/>
  <c r="AM78" i="15" s="1"/>
  <c r="AK56" i="15"/>
  <c r="AJ80" i="15"/>
  <c r="AM80" i="15" s="1"/>
  <c r="AJ81" i="15"/>
  <c r="AM81" i="15" s="1"/>
  <c r="AJ45" i="15"/>
  <c r="AM11" i="15"/>
  <c r="AK76" i="15"/>
  <c r="AK71" i="15"/>
  <c r="AK14" i="15"/>
  <c r="AM53" i="15"/>
  <c r="AQ53" i="15" s="1"/>
  <c r="AK68" i="15"/>
  <c r="AJ75" i="15"/>
  <c r="AM75" i="15" s="1"/>
  <c r="AK6" i="15"/>
  <c r="AJ9" i="15"/>
  <c r="AK46" i="15"/>
  <c r="AK60" i="15"/>
  <c r="AJ10" i="15"/>
  <c r="AK49" i="15"/>
  <c r="AK55" i="15"/>
  <c r="AK50" i="15"/>
  <c r="AJ15" i="15"/>
  <c r="AJ43" i="15"/>
  <c r="AK5" i="15"/>
  <c r="AK65" i="15"/>
  <c r="AJ79" i="15"/>
  <c r="AM79" i="15" s="1"/>
  <c r="AJ48" i="15"/>
  <c r="AM12" i="15"/>
  <c r="AK67" i="15"/>
  <c r="AK73" i="15"/>
  <c r="AK77" i="15"/>
  <c r="AJ7" i="15"/>
  <c r="AJ54" i="15"/>
  <c r="AM67" i="15"/>
  <c r="AK63" i="15"/>
  <c r="AK64" i="15"/>
  <c r="AK62" i="15"/>
  <c r="AJ58" i="15"/>
  <c r="AK85" i="15"/>
  <c r="AH92" i="15"/>
  <c r="AK78" i="15"/>
  <c r="AK45" i="15"/>
  <c r="AK52" i="15"/>
  <c r="AH90" i="15"/>
  <c r="AK54" i="15"/>
  <c r="AK9" i="15"/>
  <c r="AJ62" i="15"/>
  <c r="AJ56" i="15"/>
  <c r="AJ47" i="15"/>
  <c r="AK48" i="15"/>
  <c r="AJ49" i="15"/>
  <c r="AD90" i="15"/>
  <c r="AJ55" i="15"/>
  <c r="AJ70" i="15"/>
  <c r="AM70" i="15" s="1"/>
  <c r="AK43" i="15"/>
  <c r="AJ74" i="15"/>
  <c r="AM74" i="15" s="1"/>
  <c r="AK79" i="15"/>
  <c r="AJ65" i="15"/>
  <c r="AJ63" i="15"/>
  <c r="AJ73" i="15"/>
  <c r="AJ5" i="15"/>
  <c r="AJ44" i="15"/>
  <c r="AK10" i="15"/>
  <c r="AJ71" i="15"/>
  <c r="AJ6" i="15"/>
  <c r="AJ14" i="15"/>
  <c r="AJ51" i="15"/>
  <c r="AF90" i="15"/>
  <c r="AJ76" i="15"/>
  <c r="AK80" i="15"/>
  <c r="AK15" i="15"/>
  <c r="AK69" i="15"/>
  <c r="AJ64" i="15"/>
  <c r="AK57" i="15"/>
  <c r="AJ82" i="15"/>
  <c r="AM82" i="15" s="1"/>
  <c r="AJ72" i="15"/>
  <c r="AK84" i="15"/>
  <c r="AK75" i="15"/>
  <c r="AJ50" i="15"/>
  <c r="AJ60" i="15"/>
  <c r="AJ83" i="15"/>
  <c r="AM83" i="15" s="1"/>
  <c r="AJ68" i="15"/>
  <c r="AJ46" i="15"/>
  <c r="AH89" i="15"/>
  <c r="AM91" i="15" s="1"/>
  <c r="AJ77" i="15"/>
  <c r="AM77" i="15" s="1"/>
  <c r="AK81" i="15"/>
  <c r="AJ86" i="15"/>
  <c r="AM86" i="15" s="1"/>
  <c r="AI22" i="15"/>
  <c r="AI21" i="15"/>
  <c r="AI27" i="15"/>
  <c r="AI23" i="15"/>
  <c r="AI18" i="15"/>
  <c r="AI30" i="15"/>
  <c r="AI28" i="15"/>
  <c r="AI26" i="15"/>
  <c r="AI37" i="15"/>
  <c r="AI19" i="15"/>
  <c r="AI20" i="15"/>
  <c r="AI40" i="15"/>
  <c r="AI35" i="15"/>
  <c r="AI17" i="15"/>
  <c r="AI29" i="15"/>
  <c r="AI38" i="15"/>
  <c r="AI36" i="15"/>
  <c r="AI34" i="15"/>
  <c r="AI41" i="15"/>
  <c r="AJ4" i="15"/>
  <c r="AI39" i="15"/>
  <c r="AI32" i="15"/>
  <c r="AI24" i="15"/>
  <c r="AI42" i="15"/>
  <c r="AI25" i="15"/>
  <c r="AI33" i="15"/>
  <c r="AI31" i="15"/>
  <c r="AM54" i="15" l="1"/>
  <c r="AQ54" i="15" s="1"/>
  <c r="AM49" i="15"/>
  <c r="AQ49" i="15" s="1"/>
  <c r="AM44" i="15"/>
  <c r="AQ44" i="15" s="1"/>
  <c r="AM58" i="15"/>
  <c r="AQ58" i="15" s="1"/>
  <c r="AM7" i="15"/>
  <c r="AM64" i="15"/>
  <c r="AM5" i="15"/>
  <c r="AM47" i="15"/>
  <c r="AQ47" i="15" s="1"/>
  <c r="AM72" i="15"/>
  <c r="AM73" i="15"/>
  <c r="AM56" i="15"/>
  <c r="AQ56" i="15" s="1"/>
  <c r="AM71" i="15"/>
  <c r="AM46" i="15"/>
  <c r="AQ46" i="15" s="1"/>
  <c r="AM63" i="15"/>
  <c r="AM62" i="15"/>
  <c r="AM10" i="15"/>
  <c r="AM69" i="15"/>
  <c r="AM68" i="15"/>
  <c r="AM65" i="15"/>
  <c r="AM76" i="15"/>
  <c r="AM43" i="15"/>
  <c r="AQ43" i="15" s="1"/>
  <c r="AM57" i="15"/>
  <c r="AQ57" i="15" s="1"/>
  <c r="AM52" i="15"/>
  <c r="AQ52" i="15" s="1"/>
  <c r="AM60" i="15"/>
  <c r="AQ60" i="15" s="1"/>
  <c r="AM50" i="15"/>
  <c r="AQ50" i="15" s="1"/>
  <c r="AM51" i="15"/>
  <c r="AQ51" i="15" s="1"/>
  <c r="AM15" i="15"/>
  <c r="AM45" i="15"/>
  <c r="AQ45" i="15" s="1"/>
  <c r="AM14" i="15"/>
  <c r="AM6" i="15"/>
  <c r="AM55" i="15"/>
  <c r="AQ55" i="15" s="1"/>
  <c r="AM48" i="15"/>
  <c r="AQ48" i="15" s="1"/>
  <c r="AM9" i="15"/>
  <c r="Q88" i="15"/>
  <c r="AK38" i="15"/>
  <c r="AJ38" i="15"/>
  <c r="AK19" i="15"/>
  <c r="AJ19" i="15"/>
  <c r="AK29" i="15"/>
  <c r="AJ29" i="15"/>
  <c r="AK37" i="15"/>
  <c r="AJ37" i="15"/>
  <c r="Q89" i="15"/>
  <c r="AJ33" i="15"/>
  <c r="AK33" i="15"/>
  <c r="AM4" i="15"/>
  <c r="AQ4" i="15" s="1"/>
  <c r="AK18" i="15"/>
  <c r="AJ18" i="15"/>
  <c r="AK39" i="15"/>
  <c r="AJ39" i="15"/>
  <c r="AK25" i="15"/>
  <c r="AJ25" i="15"/>
  <c r="AK26" i="15"/>
  <c r="AJ26" i="15"/>
  <c r="AK23" i="15"/>
  <c r="AJ23" i="15"/>
  <c r="AK31" i="15"/>
  <c r="AJ31" i="15"/>
  <c r="AK17" i="15"/>
  <c r="AJ17" i="15"/>
  <c r="AK28" i="15"/>
  <c r="AJ28" i="15"/>
  <c r="AK42" i="15"/>
  <c r="AJ42" i="15"/>
  <c r="AK41" i="15"/>
  <c r="AJ41" i="15"/>
  <c r="AK35" i="15"/>
  <c r="AJ35" i="15"/>
  <c r="AK27" i="15"/>
  <c r="AJ27" i="15"/>
  <c r="AK34" i="15"/>
  <c r="AJ34" i="15"/>
  <c r="AK40" i="15"/>
  <c r="AJ40" i="15"/>
  <c r="AK30" i="15"/>
  <c r="AJ30" i="15"/>
  <c r="AK24" i="15"/>
  <c r="AJ24" i="15"/>
  <c r="AK21" i="15"/>
  <c r="AJ21" i="15"/>
  <c r="AJ36" i="15"/>
  <c r="AK36" i="15"/>
  <c r="AK20" i="15"/>
  <c r="AJ20" i="15"/>
  <c r="AK32" i="15"/>
  <c r="AJ32" i="15"/>
  <c r="AK22" i="15"/>
  <c r="AJ22" i="15"/>
  <c r="AI8" i="15"/>
  <c r="AM40" i="15" l="1"/>
  <c r="AM39" i="15"/>
  <c r="AM18" i="15"/>
  <c r="AM38" i="15"/>
  <c r="AM28" i="15"/>
  <c r="AM32" i="15"/>
  <c r="AM19" i="15"/>
  <c r="AM31" i="15"/>
  <c r="AM36" i="15"/>
  <c r="AM33" i="15"/>
  <c r="AM34" i="15"/>
  <c r="AM27" i="15"/>
  <c r="AM35" i="15"/>
  <c r="AM23" i="15"/>
  <c r="AM24" i="15"/>
  <c r="AI88" i="15"/>
  <c r="AM17" i="15"/>
  <c r="AM26" i="15"/>
  <c r="AM25" i="15"/>
  <c r="AM20" i="15"/>
  <c r="AM21" i="15"/>
  <c r="AQ21" i="15" s="1"/>
  <c r="AM41" i="15"/>
  <c r="AM37" i="15"/>
  <c r="AM22" i="15"/>
  <c r="AM30" i="15"/>
  <c r="AM42" i="15"/>
  <c r="AM29" i="15"/>
  <c r="AJ8" i="15"/>
  <c r="AK8" i="15"/>
  <c r="AK16" i="15"/>
  <c r="AJ16" i="15"/>
  <c r="AN17" i="15" l="1"/>
  <c r="AQ17" i="15" s="1"/>
  <c r="AN29" i="15"/>
  <c r="AQ29" i="15" s="1"/>
  <c r="AN40" i="15"/>
  <c r="AQ40" i="15" s="1"/>
  <c r="AN28" i="15"/>
  <c r="AQ28" i="15" s="1"/>
  <c r="AN14" i="15"/>
  <c r="AQ14" i="15" s="1"/>
  <c r="AN64" i="15"/>
  <c r="AQ64" i="15" s="1"/>
  <c r="AN77" i="15"/>
  <c r="AQ77" i="15" s="1"/>
  <c r="AN62" i="15"/>
  <c r="AQ62" i="15" s="1"/>
  <c r="AN41" i="15"/>
  <c r="AQ41" i="15" s="1"/>
  <c r="AN27" i="15"/>
  <c r="AQ27" i="15" s="1"/>
  <c r="AN12" i="15"/>
  <c r="AQ12" i="15" s="1"/>
  <c r="AN79" i="15"/>
  <c r="AQ79" i="15" s="1"/>
  <c r="AN75" i="15"/>
  <c r="AQ75" i="15" s="1"/>
  <c r="AN76" i="15"/>
  <c r="AQ76" i="15" s="1"/>
  <c r="AN78" i="15"/>
  <c r="AQ78" i="15" s="1"/>
  <c r="AN11" i="15"/>
  <c r="AQ11" i="15" s="1"/>
  <c r="AN80" i="15"/>
  <c r="AQ80" i="15" s="1"/>
  <c r="AN74" i="15"/>
  <c r="AQ74" i="15" s="1"/>
  <c r="AN67" i="15"/>
  <c r="AQ67" i="15" s="1"/>
  <c r="AN10" i="15"/>
  <c r="AQ10" i="15" s="1"/>
  <c r="AN69" i="15"/>
  <c r="AQ69" i="15" s="1"/>
  <c r="AN81" i="15"/>
  <c r="AQ81" i="15" s="1"/>
  <c r="AN5" i="15"/>
  <c r="AQ5" i="15" s="1"/>
  <c r="AN42" i="15"/>
  <c r="AQ42" i="15" s="1"/>
  <c r="AN39" i="15"/>
  <c r="AQ39" i="15" s="1"/>
  <c r="AN26" i="15"/>
  <c r="AQ26" i="15" s="1"/>
  <c r="AN25" i="15"/>
  <c r="AQ25" i="15" s="1"/>
  <c r="AN24" i="15"/>
  <c r="AQ24" i="15" s="1"/>
  <c r="AN35" i="15"/>
  <c r="AQ35" i="15" s="1"/>
  <c r="AN23" i="15"/>
  <c r="AQ23" i="15" s="1"/>
  <c r="AN9" i="15"/>
  <c r="AQ9" i="15" s="1"/>
  <c r="AN70" i="15"/>
  <c r="AQ70" i="15" s="1"/>
  <c r="AN82" i="15"/>
  <c r="AQ82" i="15" s="1"/>
  <c r="AN31" i="15"/>
  <c r="AQ31" i="15" s="1"/>
  <c r="AN30" i="15"/>
  <c r="AQ30" i="15" s="1"/>
  <c r="AN38" i="15"/>
  <c r="AQ38" i="15" s="1"/>
  <c r="AN37" i="15"/>
  <c r="AQ37" i="15" s="1"/>
  <c r="AN68" i="15"/>
  <c r="AQ68" i="15" s="1"/>
  <c r="AN34" i="15"/>
  <c r="AQ34" i="15" s="1"/>
  <c r="AN22" i="15"/>
  <c r="AQ22" i="15" s="1"/>
  <c r="AN8" i="15"/>
  <c r="AN83" i="15"/>
  <c r="AQ83" i="15" s="1"/>
  <c r="AN18" i="15"/>
  <c r="AQ18" i="15" s="1"/>
  <c r="AN63" i="15"/>
  <c r="AQ63" i="15" s="1"/>
  <c r="AN13" i="15"/>
  <c r="AQ13" i="15" s="1"/>
  <c r="AN33" i="15"/>
  <c r="AQ33" i="15" s="1"/>
  <c r="AN20" i="15"/>
  <c r="AQ20" i="15" s="1"/>
  <c r="AN7" i="15"/>
  <c r="AQ7" i="15" s="1"/>
  <c r="AN72" i="15"/>
  <c r="AQ72" i="15" s="1"/>
  <c r="AN84" i="15"/>
  <c r="AQ84" i="15" s="1"/>
  <c r="AN15" i="15"/>
  <c r="AQ15" i="15" s="1"/>
  <c r="AN65" i="15"/>
  <c r="AQ65" i="15" s="1"/>
  <c r="AN36" i="15"/>
  <c r="AQ36" i="15" s="1"/>
  <c r="AN32" i="15"/>
  <c r="AQ32" i="15" s="1"/>
  <c r="AN19" i="15"/>
  <c r="AQ19" i="15" s="1"/>
  <c r="AN6" i="15"/>
  <c r="AQ6" i="15" s="1"/>
  <c r="AN73" i="15"/>
  <c r="AQ73" i="15" s="1"/>
  <c r="AN85" i="15"/>
  <c r="AQ85" i="15" s="1"/>
  <c r="AN86" i="15"/>
  <c r="AQ86" i="15" s="1"/>
  <c r="AN71" i="15"/>
  <c r="AM16" i="15"/>
  <c r="AQ16" i="15" s="1"/>
  <c r="AK88" i="15"/>
  <c r="AJ88" i="15"/>
  <c r="AM8" i="15"/>
  <c r="D90" i="15"/>
  <c r="AQ8" i="15" l="1"/>
  <c r="AN88" i="15"/>
  <c r="AQ71" i="15"/>
  <c r="AM88" i="15"/>
  <c r="AM93" i="15" s="1"/>
  <c r="AM94" i="15" s="1"/>
  <c r="K79" i="1" l="1"/>
  <c r="D79" i="1" l="1"/>
  <c r="X79" i="1" l="1"/>
  <c r="W79" i="1"/>
  <c r="O72" i="7"/>
  <c r="N74" i="7"/>
  <c r="M74" i="7"/>
  <c r="L74" i="7"/>
  <c r="K74" i="7"/>
  <c r="E43" i="7" l="1"/>
  <c r="E63" i="7"/>
  <c r="O63" i="7" s="1"/>
  <c r="E66" i="7"/>
  <c r="O66" i="7" s="1"/>
  <c r="E67" i="7"/>
  <c r="O67" i="7" s="1"/>
  <c r="E68" i="7"/>
  <c r="O68" i="7" s="1"/>
  <c r="E20" i="7" l="1"/>
  <c r="E15" i="7"/>
  <c r="Z24" i="7"/>
  <c r="E24" i="7" s="1"/>
  <c r="E9" i="7" l="1"/>
  <c r="E10" i="7"/>
  <c r="E11" i="7"/>
  <c r="E12" i="7"/>
  <c r="E13" i="7"/>
  <c r="E14" i="7"/>
  <c r="E16" i="7"/>
  <c r="E17" i="7"/>
  <c r="E18" i="7"/>
  <c r="E19" i="7"/>
  <c r="E21" i="7"/>
  <c r="E22" i="7"/>
  <c r="E23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O61" i="7" s="1"/>
  <c r="E62" i="7"/>
  <c r="O62" i="7" s="1"/>
  <c r="E64" i="7"/>
  <c r="O64" i="7" s="1"/>
  <c r="E65" i="7"/>
  <c r="O65" i="7" s="1"/>
  <c r="E69" i="7"/>
  <c r="O69" i="7" s="1"/>
  <c r="E70" i="7"/>
  <c r="O70" i="7" s="1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8" i="7"/>
  <c r="D74" i="7" l="1"/>
  <c r="D84" i="7"/>
  <c r="D85" i="7" s="1"/>
  <c r="Y73" i="7"/>
  <c r="E8" i="7"/>
  <c r="U13" i="7"/>
  <c r="W13" i="7"/>
  <c r="U14" i="7"/>
  <c r="W14" i="7"/>
  <c r="U16" i="7"/>
  <c r="W16" i="7"/>
  <c r="U22" i="7"/>
  <c r="W22" i="7"/>
  <c r="U23" i="7"/>
  <c r="W23" i="7"/>
  <c r="U43" i="7"/>
  <c r="W43" i="7"/>
  <c r="U47" i="7"/>
  <c r="W47" i="7"/>
  <c r="U48" i="7"/>
  <c r="W48" i="7"/>
  <c r="U49" i="7"/>
  <c r="W49" i="7"/>
  <c r="U50" i="7"/>
  <c r="W50" i="7"/>
  <c r="U51" i="7"/>
  <c r="W51" i="7"/>
  <c r="U52" i="7"/>
  <c r="W52" i="7"/>
  <c r="U53" i="7"/>
  <c r="W53" i="7"/>
  <c r="U54" i="7"/>
  <c r="W54" i="7"/>
  <c r="U55" i="7"/>
  <c r="W55" i="7"/>
  <c r="U56" i="7"/>
  <c r="W56" i="7"/>
  <c r="U57" i="7"/>
  <c r="W57" i="7"/>
  <c r="U58" i="7"/>
  <c r="W58" i="7"/>
  <c r="U59" i="7"/>
  <c r="W59" i="7"/>
  <c r="U60" i="7"/>
  <c r="W60" i="7"/>
  <c r="U63" i="7"/>
  <c r="W63" i="7"/>
  <c r="U64" i="7"/>
  <c r="W64" i="7"/>
  <c r="U66" i="7"/>
  <c r="W66" i="7"/>
  <c r="U67" i="7"/>
  <c r="W67" i="7"/>
  <c r="U68" i="7"/>
  <c r="W68" i="7"/>
  <c r="E84" i="7" l="1"/>
  <c r="E85" i="7" s="1"/>
  <c r="E74" i="7"/>
  <c r="D76" i="7"/>
  <c r="L84" i="7" l="1"/>
  <c r="K84" i="7"/>
  <c r="O81" i="7"/>
  <c r="D81" i="7"/>
  <c r="O77" i="7"/>
  <c r="O78" i="7" s="1"/>
  <c r="N77" i="7"/>
  <c r="N78" i="7" s="1"/>
  <c r="M77" i="7"/>
  <c r="M78" i="7" s="1"/>
  <c r="L77" i="7"/>
  <c r="L78" i="7" s="1"/>
  <c r="K77" i="7"/>
  <c r="K78" i="7" s="1"/>
  <c r="J77" i="7"/>
  <c r="J78" i="7" s="1"/>
  <c r="J79" i="7" s="1"/>
  <c r="I77" i="7"/>
  <c r="I78" i="7" s="1"/>
  <c r="I79" i="7" s="1"/>
  <c r="G77" i="7"/>
  <c r="G78" i="7" s="1"/>
  <c r="G79" i="7" s="1"/>
  <c r="F77" i="7"/>
  <c r="F78" i="7" s="1"/>
  <c r="F79" i="7" s="1"/>
  <c r="E77" i="7"/>
  <c r="E78" i="7" s="1"/>
  <c r="D77" i="7"/>
  <c r="D78" i="7" s="1"/>
  <c r="P75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3" i="7"/>
  <c r="O23" i="7"/>
  <c r="O22" i="7"/>
  <c r="O16" i="7"/>
  <c r="O14" i="7"/>
  <c r="O13" i="7"/>
  <c r="R72" i="7" l="1"/>
  <c r="O83" i="7"/>
  <c r="Q72" i="7"/>
  <c r="W20" i="7" l="1"/>
  <c r="W15" i="7"/>
  <c r="W8" i="7"/>
  <c r="W37" i="7"/>
  <c r="W46" i="7"/>
  <c r="W10" i="7"/>
  <c r="W24" i="7"/>
  <c r="W12" i="7"/>
  <c r="W70" i="7"/>
  <c r="W69" i="7"/>
  <c r="W9" i="7"/>
  <c r="W61" i="7"/>
  <c r="W65" i="7"/>
  <c r="W62" i="7"/>
  <c r="W17" i="7"/>
  <c r="W19" i="7"/>
  <c r="W18" i="7"/>
  <c r="O18" i="7" s="1"/>
  <c r="W21" i="7"/>
  <c r="W26" i="7"/>
  <c r="W40" i="7"/>
  <c r="W42" i="7"/>
  <c r="W25" i="7"/>
  <c r="W27" i="7"/>
  <c r="W28" i="7"/>
  <c r="W29" i="7"/>
  <c r="O29" i="7" s="1"/>
  <c r="W30" i="7"/>
  <c r="W35" i="7"/>
  <c r="W34" i="7"/>
  <c r="W41" i="7"/>
  <c r="W44" i="7"/>
  <c r="W31" i="7"/>
  <c r="O31" i="7" s="1"/>
  <c r="W36" i="7"/>
  <c r="W38" i="7"/>
  <c r="O38" i="7" s="1"/>
  <c r="W39" i="7"/>
  <c r="W45" i="7"/>
  <c r="W33" i="7"/>
  <c r="W32" i="7"/>
  <c r="W11" i="7"/>
  <c r="U19" i="7"/>
  <c r="U28" i="7"/>
  <c r="U36" i="7"/>
  <c r="U8" i="7"/>
  <c r="U62" i="7"/>
  <c r="U10" i="7"/>
  <c r="U37" i="7"/>
  <c r="U15" i="7"/>
  <c r="U45" i="7"/>
  <c r="U38" i="7"/>
  <c r="U31" i="7"/>
  <c r="U35" i="7"/>
  <c r="U27" i="7"/>
  <c r="U42" i="7"/>
  <c r="U26" i="7"/>
  <c r="U17" i="7"/>
  <c r="U29" i="7" l="1"/>
  <c r="U18" i="7"/>
  <c r="U12" i="7"/>
  <c r="U32" i="7"/>
  <c r="U41" i="7"/>
  <c r="O27" i="7"/>
  <c r="O17" i="7"/>
  <c r="O8" i="7"/>
  <c r="O36" i="7"/>
  <c r="O28" i="7"/>
  <c r="O19" i="7"/>
  <c r="O12" i="7"/>
  <c r="O10" i="7"/>
  <c r="O37" i="7"/>
  <c r="O15" i="7"/>
  <c r="O32" i="7"/>
  <c r="O45" i="7"/>
  <c r="O41" i="7"/>
  <c r="O35" i="7"/>
  <c r="O42" i="7"/>
  <c r="O26" i="7"/>
  <c r="O9" i="7"/>
  <c r="U33" i="7"/>
  <c r="O33" i="7" s="1"/>
  <c r="U34" i="7"/>
  <c r="O34" i="7" s="1"/>
  <c r="U40" i="7"/>
  <c r="O40" i="7" s="1"/>
  <c r="U61" i="7"/>
  <c r="U69" i="7"/>
  <c r="U65" i="7"/>
  <c r="U46" i="7"/>
  <c r="O46" i="7" s="1"/>
  <c r="U20" i="7"/>
  <c r="O20" i="7" s="1"/>
  <c r="U39" i="7"/>
  <c r="O39" i="7" s="1"/>
  <c r="U44" i="7"/>
  <c r="O44" i="7" s="1"/>
  <c r="U30" i="7"/>
  <c r="O30" i="7" s="1"/>
  <c r="U25" i="7"/>
  <c r="O25" i="7" s="1"/>
  <c r="U21" i="7"/>
  <c r="O21" i="7" s="1"/>
  <c r="U11" i="7"/>
  <c r="O11" i="7" s="1"/>
  <c r="U24" i="7"/>
  <c r="O24" i="7" s="1"/>
  <c r="U9" i="7"/>
  <c r="U70" i="7"/>
  <c r="O74" i="7" l="1"/>
  <c r="O76" i="7" s="1"/>
  <c r="T72" i="7"/>
  <c r="E76" i="7" l="1"/>
  <c r="E79" i="1" l="1"/>
  <c r="AM89" i="15" l="1"/>
  <c r="AM90" i="15" s="1"/>
  <c r="L79" i="1"/>
  <c r="Y79" i="1"/>
  <c r="AH96" i="20" l="1"/>
  <c r="E89" i="20" l="1"/>
  <c r="E92" i="20" s="1"/>
  <c r="K89" i="20" l="1"/>
  <c r="K92" i="20" l="1"/>
  <c r="X73" i="19"/>
  <c r="X77" i="19" s="1"/>
  <c r="X79" i="19" s="1"/>
  <c r="X73" i="26"/>
  <c r="X77" i="26" s="1"/>
  <c r="X79" i="26" s="1"/>
  <c r="L73" i="26" l="1"/>
  <c r="L77" i="26" s="1"/>
  <c r="L79" i="26" s="1"/>
  <c r="E73" i="26"/>
  <c r="E77" i="26" s="1"/>
  <c r="E79" i="26" s="1"/>
  <c r="AN18" i="20" l="1"/>
  <c r="AQ18" i="20" s="1"/>
  <c r="Z22" i="24" l="1"/>
  <c r="AA22" i="24" s="1"/>
  <c r="Z22" i="26"/>
  <c r="AA22" i="26" s="1"/>
  <c r="AN27" i="20" l="1"/>
  <c r="AQ27" i="20" s="1"/>
  <c r="AN42" i="20"/>
  <c r="AQ42" i="20" s="1"/>
  <c r="AN17" i="20"/>
  <c r="AQ17" i="20" s="1"/>
  <c r="AN20" i="20"/>
  <c r="AQ20" i="20" s="1"/>
  <c r="AN26" i="20"/>
  <c r="AQ26" i="20" s="1"/>
  <c r="AN33" i="20"/>
  <c r="AQ33" i="20" s="1"/>
  <c r="AN39" i="20"/>
  <c r="AQ39" i="20" s="1"/>
  <c r="AN41" i="20"/>
  <c r="AQ41" i="20" s="1"/>
  <c r="AN21" i="20"/>
  <c r="AQ21" i="20" s="1"/>
  <c r="AN36" i="20"/>
  <c r="AQ36" i="20" s="1"/>
  <c r="AN25" i="20"/>
  <c r="AQ25" i="20" s="1"/>
  <c r="AN24" i="20"/>
  <c r="AQ24" i="20" s="1"/>
  <c r="AN23" i="20"/>
  <c r="AQ23" i="20" s="1"/>
  <c r="AN34" i="20"/>
  <c r="AQ34" i="20" s="1"/>
  <c r="AN29" i="20"/>
  <c r="AQ29" i="20" s="1"/>
  <c r="AN32" i="20"/>
  <c r="AQ32" i="20" s="1"/>
  <c r="AN28" i="20"/>
  <c r="AQ28" i="20" s="1"/>
  <c r="AN30" i="20"/>
  <c r="AQ30" i="20" s="1"/>
  <c r="AN35" i="20"/>
  <c r="AQ35" i="20" s="1"/>
  <c r="AN38" i="20"/>
  <c r="AQ38" i="20" s="1"/>
  <c r="AN37" i="20"/>
  <c r="AQ37" i="20" s="1"/>
  <c r="AN40" i="20"/>
  <c r="AQ40" i="20" s="1"/>
  <c r="AN19" i="20"/>
  <c r="AQ19" i="20" s="1"/>
  <c r="AN22" i="20"/>
  <c r="AQ22" i="20" s="1"/>
  <c r="AN31" i="20"/>
  <c r="AQ31" i="20" s="1"/>
  <c r="Z34" i="26" l="1"/>
  <c r="AA34" i="26" s="1"/>
  <c r="Z34" i="24"/>
  <c r="AA34" i="24" s="1"/>
  <c r="Z44" i="24"/>
  <c r="AA44" i="24" s="1"/>
  <c r="Z44" i="26"/>
  <c r="AA44" i="26" s="1"/>
  <c r="Z36" i="24"/>
  <c r="AA36" i="24" s="1"/>
  <c r="Z36" i="26"/>
  <c r="AA36" i="26" s="1"/>
  <c r="Z40" i="26"/>
  <c r="AA40" i="26" s="1"/>
  <c r="Z40" i="24"/>
  <c r="AA40" i="24" s="1"/>
  <c r="Z24" i="24"/>
  <c r="AA24" i="24" s="1"/>
  <c r="Z24" i="26"/>
  <c r="AA24" i="26" s="1"/>
  <c r="Z26" i="26"/>
  <c r="AA26" i="26" s="1"/>
  <c r="Z26" i="24"/>
  <c r="AA26" i="24" s="1"/>
  <c r="Z37" i="24"/>
  <c r="AA37" i="24" s="1"/>
  <c r="Z37" i="26"/>
  <c r="AA37" i="26" s="1"/>
  <c r="Z23" i="26"/>
  <c r="AA23" i="26" s="1"/>
  <c r="Z23" i="24"/>
  <c r="AA23" i="24" s="1"/>
  <c r="Z30" i="24"/>
  <c r="AA30" i="24" s="1"/>
  <c r="Z30" i="26"/>
  <c r="AA30" i="26" s="1"/>
  <c r="Z41" i="24"/>
  <c r="AA41" i="24" s="1"/>
  <c r="Z41" i="26"/>
  <c r="AA41" i="26" s="1"/>
  <c r="Z33" i="24"/>
  <c r="AA33" i="24" s="1"/>
  <c r="Z33" i="26"/>
  <c r="AA33" i="26" s="1"/>
  <c r="Z25" i="26"/>
  <c r="AA25" i="26" s="1"/>
  <c r="Z25" i="24"/>
  <c r="AA25" i="24" s="1"/>
  <c r="Z21" i="26"/>
  <c r="AA21" i="26" s="1"/>
  <c r="Z21" i="24"/>
  <c r="AA21" i="24" s="1"/>
  <c r="Z32" i="24"/>
  <c r="AA32" i="24" s="1"/>
  <c r="Z32" i="26"/>
  <c r="AA32" i="26" s="1"/>
  <c r="Z42" i="26"/>
  <c r="AA42" i="26" s="1"/>
  <c r="Z42" i="24"/>
  <c r="AA42" i="24" s="1"/>
  <c r="Z38" i="24"/>
  <c r="AA38" i="24" s="1"/>
  <c r="Z38" i="26"/>
  <c r="AA38" i="26" s="1"/>
  <c r="Z45" i="24"/>
  <c r="AA45" i="24" s="1"/>
  <c r="Z45" i="26"/>
  <c r="AA45" i="26" s="1"/>
  <c r="Z46" i="24"/>
  <c r="AA46" i="24" s="1"/>
  <c r="Z46" i="26"/>
  <c r="AA46" i="26" s="1"/>
  <c r="Z29" i="24"/>
  <c r="AA29" i="24" s="1"/>
  <c r="Z29" i="26"/>
  <c r="AA29" i="26" s="1"/>
  <c r="Z35" i="26"/>
  <c r="AA35" i="26" s="1"/>
  <c r="Z35" i="24"/>
  <c r="AA35" i="24" s="1"/>
  <c r="Z39" i="26"/>
  <c r="AA39" i="26" s="1"/>
  <c r="Z39" i="24"/>
  <c r="AA39" i="24" s="1"/>
  <c r="Z27" i="24"/>
  <c r="AA27" i="24" s="1"/>
  <c r="Z27" i="26"/>
  <c r="AA27" i="26" s="1"/>
  <c r="Z43" i="24"/>
  <c r="AA43" i="24" s="1"/>
  <c r="Z43" i="26"/>
  <c r="AA43" i="26" s="1"/>
  <c r="Z31" i="24"/>
  <c r="AA31" i="24" s="1"/>
  <c r="Z31" i="26"/>
  <c r="AA31" i="26" s="1"/>
  <c r="Z28" i="26"/>
  <c r="AA28" i="26" s="1"/>
  <c r="Z28" i="24"/>
  <c r="AA28" i="24" s="1"/>
  <c r="D89" i="20" l="1"/>
  <c r="K94" i="20" s="1"/>
  <c r="AN16" i="20"/>
  <c r="D103" i="20"/>
  <c r="AQ16" i="20" l="1"/>
  <c r="AN89" i="20"/>
  <c r="AQ91" i="20" s="1"/>
  <c r="D92" i="20"/>
  <c r="D97" i="20"/>
  <c r="Z20" i="24" l="1"/>
  <c r="AQ89" i="20"/>
  <c r="AQ93" i="20" s="1"/>
  <c r="Z73" i="19"/>
  <c r="Z20" i="26"/>
  <c r="Z73" i="26" l="1"/>
  <c r="AA20" i="26"/>
  <c r="AA73" i="26" s="1"/>
  <c r="Z73" i="24"/>
  <c r="AA20" i="24"/>
  <c r="AA73" i="24" s="1"/>
  <c r="G19" i="20" l="1"/>
  <c r="Y23" i="19" l="1"/>
  <c r="G28" i="20"/>
  <c r="G16" i="20"/>
  <c r="G23" i="20"/>
  <c r="AR19" i="22"/>
  <c r="AS19" i="22" s="1"/>
  <c r="AR19" i="20"/>
  <c r="AS19" i="20" s="1"/>
  <c r="AA23" i="19"/>
  <c r="G18" i="20"/>
  <c r="Y32" i="19" l="1"/>
  <c r="AA32" i="19" s="1"/>
  <c r="G24" i="20"/>
  <c r="G37" i="20"/>
  <c r="G20" i="20"/>
  <c r="G42" i="20"/>
  <c r="G31" i="20"/>
  <c r="G27" i="20"/>
  <c r="G36" i="20"/>
  <c r="G17" i="20"/>
  <c r="Y22" i="19"/>
  <c r="G30" i="20"/>
  <c r="Y27" i="19"/>
  <c r="G22" i="20"/>
  <c r="G29" i="20"/>
  <c r="AR28" i="20"/>
  <c r="AS28" i="20" s="1"/>
  <c r="AR28" i="22"/>
  <c r="G32" i="20"/>
  <c r="G41" i="20"/>
  <c r="G34" i="20"/>
  <c r="I89" i="20"/>
  <c r="I90" i="20" s="1"/>
  <c r="G33" i="20"/>
  <c r="G21" i="20"/>
  <c r="G35" i="20"/>
  <c r="G26" i="20"/>
  <c r="G39" i="20"/>
  <c r="G38" i="20"/>
  <c r="G25" i="20"/>
  <c r="G40" i="20"/>
  <c r="I92" i="20" l="1"/>
  <c r="AS91" i="20" s="1"/>
  <c r="I94" i="20"/>
  <c r="Y40" i="19"/>
  <c r="AA40" i="19" s="1"/>
  <c r="Y29" i="19"/>
  <c r="AA29" i="19" s="1"/>
  <c r="Y37" i="19"/>
  <c r="AR33" i="22" s="1"/>
  <c r="Y26" i="19"/>
  <c r="AA26" i="19" s="1"/>
  <c r="Y44" i="19"/>
  <c r="AA44" i="19" s="1"/>
  <c r="Y21" i="19"/>
  <c r="AA21" i="19" s="1"/>
  <c r="Y25" i="19"/>
  <c r="AR21" i="20" s="1"/>
  <c r="AS21" i="20" s="1"/>
  <c r="Y36" i="19"/>
  <c r="AA36" i="19" s="1"/>
  <c r="Y24" i="19"/>
  <c r="AR20" i="20" s="1"/>
  <c r="AS20" i="20" s="1"/>
  <c r="Y38" i="19"/>
  <c r="AA38" i="19" s="1"/>
  <c r="Y30" i="19"/>
  <c r="AA30" i="19" s="1"/>
  <c r="Y46" i="19"/>
  <c r="AA46" i="19" s="1"/>
  <c r="Y28" i="19"/>
  <c r="AR24" i="22" s="1"/>
  <c r="Y33" i="19"/>
  <c r="AA33" i="19" s="1"/>
  <c r="Y31" i="19"/>
  <c r="AR27" i="20" s="1"/>
  <c r="AS27" i="20" s="1"/>
  <c r="Y43" i="19"/>
  <c r="AR39" i="22" s="1"/>
  <c r="AS39" i="22" s="1"/>
  <c r="Y35" i="19"/>
  <c r="Y45" i="19"/>
  <c r="AA27" i="19"/>
  <c r="AR23" i="20"/>
  <c r="AS23" i="20" s="1"/>
  <c r="AR23" i="22"/>
  <c r="AS23" i="22" s="1"/>
  <c r="Y39" i="19"/>
  <c r="Y34" i="19"/>
  <c r="AR18" i="20"/>
  <c r="AS18" i="20" s="1"/>
  <c r="AR18" i="22"/>
  <c r="AS18" i="22" s="1"/>
  <c r="AA22" i="19"/>
  <c r="Y41" i="19"/>
  <c r="L73" i="19"/>
  <c r="L77" i="19" s="1"/>
  <c r="AR25" i="20"/>
  <c r="AS25" i="20" s="1"/>
  <c r="AR25" i="22"/>
  <c r="Y42" i="19"/>
  <c r="G89" i="20"/>
  <c r="G90" i="20" s="1"/>
  <c r="AA37" i="19" l="1"/>
  <c r="AR33" i="20"/>
  <c r="AS33" i="20" s="1"/>
  <c r="AR40" i="20"/>
  <c r="AS40" i="20" s="1"/>
  <c r="AR36" i="20"/>
  <c r="AS36" i="20" s="1"/>
  <c r="AR36" i="22"/>
  <c r="AR40" i="22"/>
  <c r="AR22" i="22"/>
  <c r="AR22" i="20"/>
  <c r="AS22" i="20" s="1"/>
  <c r="AR17" i="20"/>
  <c r="AS17" i="20" s="1"/>
  <c r="G89" i="27"/>
  <c r="E78" i="19" s="1"/>
  <c r="I89" i="27"/>
  <c r="AR32" i="22"/>
  <c r="AR32" i="20"/>
  <c r="AS32" i="20" s="1"/>
  <c r="D98" i="20"/>
  <c r="D99" i="20" s="1"/>
  <c r="G94" i="20"/>
  <c r="AR21" i="22"/>
  <c r="AS21" i="22" s="1"/>
  <c r="AA25" i="19"/>
  <c r="AR17" i="22"/>
  <c r="AS17" i="22" s="1"/>
  <c r="AA24" i="19"/>
  <c r="AR34" i="20"/>
  <c r="AS34" i="20" s="1"/>
  <c r="AR24" i="20"/>
  <c r="AS24" i="20" s="1"/>
  <c r="AA28" i="19"/>
  <c r="AR20" i="22"/>
  <c r="AS20" i="22" s="1"/>
  <c r="AR42" i="22"/>
  <c r="AS42" i="22" s="1"/>
  <c r="AR42" i="20"/>
  <c r="AS42" i="20" s="1"/>
  <c r="AR34" i="22"/>
  <c r="AR26" i="20"/>
  <c r="AS26" i="20" s="1"/>
  <c r="AR29" i="22"/>
  <c r="AS29" i="22" s="1"/>
  <c r="AR29" i="20"/>
  <c r="AS29" i="20" s="1"/>
  <c r="AR26" i="22"/>
  <c r="AR27" i="22"/>
  <c r="AA31" i="19"/>
  <c r="AR39" i="20"/>
  <c r="AS39" i="20" s="1"/>
  <c r="AA43" i="19"/>
  <c r="AA34" i="19"/>
  <c r="AR30" i="22"/>
  <c r="AS30" i="22" s="1"/>
  <c r="AR30" i="20"/>
  <c r="AS30" i="20" s="1"/>
  <c r="AA39" i="19"/>
  <c r="AR35" i="22"/>
  <c r="AR35" i="20"/>
  <c r="AS35" i="20" s="1"/>
  <c r="AA41" i="19"/>
  <c r="AR37" i="22"/>
  <c r="AR37" i="20"/>
  <c r="AS37" i="20" s="1"/>
  <c r="AA45" i="19"/>
  <c r="AR41" i="20"/>
  <c r="AS41" i="20" s="1"/>
  <c r="AR41" i="22"/>
  <c r="AS41" i="22" s="1"/>
  <c r="E73" i="19"/>
  <c r="E77" i="19" s="1"/>
  <c r="Y20" i="19"/>
  <c r="AR31" i="22"/>
  <c r="AR31" i="20"/>
  <c r="AS31" i="20" s="1"/>
  <c r="AA35" i="19"/>
  <c r="G92" i="20"/>
  <c r="G97" i="20"/>
  <c r="G103" i="20"/>
  <c r="G104" i="20" s="1"/>
  <c r="G105" i="20" s="1"/>
  <c r="AR38" i="22"/>
  <c r="AR38" i="20"/>
  <c r="AS38" i="20" s="1"/>
  <c r="AA42" i="19"/>
  <c r="G91" i="27" l="1"/>
  <c r="E79" i="19"/>
  <c r="AR16" i="22"/>
  <c r="Y73" i="19"/>
  <c r="AA20" i="19"/>
  <c r="AA73" i="19" s="1"/>
  <c r="AR16" i="20"/>
  <c r="AR89" i="20" l="1"/>
  <c r="AS16" i="20"/>
  <c r="AS89" i="20" s="1"/>
  <c r="Y77" i="19"/>
  <c r="AR91" i="20"/>
  <c r="AR89" i="22"/>
  <c r="AS16" i="22"/>
  <c r="AR92" i="20" l="1"/>
  <c r="AN17" i="17" l="1"/>
  <c r="AN18" i="17"/>
  <c r="AN19" i="17"/>
  <c r="AN20" i="17"/>
  <c r="AN21" i="17"/>
  <c r="AN23" i="17"/>
  <c r="AN29" i="17"/>
  <c r="AN30" i="17"/>
  <c r="AN39" i="17"/>
  <c r="AN41" i="17"/>
  <c r="AN42" i="17"/>
  <c r="AQ39" i="17" l="1"/>
  <c r="AT39" i="17" s="1"/>
  <c r="AU39" i="17"/>
  <c r="AU23" i="17"/>
  <c r="AQ23" i="17"/>
  <c r="AT23" i="17" s="1"/>
  <c r="AN36" i="22"/>
  <c r="AQ36" i="22" s="1"/>
  <c r="AS36" i="22" s="1"/>
  <c r="AN36" i="17"/>
  <c r="AU21" i="17"/>
  <c r="AQ21" i="17"/>
  <c r="AT21" i="17" s="1"/>
  <c r="AN33" i="22"/>
  <c r="AQ33" i="22" s="1"/>
  <c r="AS33" i="22" s="1"/>
  <c r="AN33" i="17"/>
  <c r="AN35" i="22"/>
  <c r="AQ35" i="22" s="1"/>
  <c r="AS35" i="22" s="1"/>
  <c r="AN35" i="17"/>
  <c r="AN37" i="22"/>
  <c r="AQ37" i="22" s="1"/>
  <c r="AS37" i="22" s="1"/>
  <c r="AN37" i="17"/>
  <c r="AN24" i="22"/>
  <c r="AQ24" i="22" s="1"/>
  <c r="AS24" i="22" s="1"/>
  <c r="AN24" i="17"/>
  <c r="AN38" i="22"/>
  <c r="AQ38" i="22" s="1"/>
  <c r="AS38" i="22" s="1"/>
  <c r="AN38" i="17"/>
  <c r="AN25" i="22"/>
  <c r="AQ25" i="22" s="1"/>
  <c r="AS25" i="22" s="1"/>
  <c r="AN25" i="17"/>
  <c r="AN40" i="22"/>
  <c r="AQ40" i="22" s="1"/>
  <c r="AS40" i="22" s="1"/>
  <c r="AN40" i="17"/>
  <c r="AQ20" i="17"/>
  <c r="AT20" i="17" s="1"/>
  <c r="AU20" i="17"/>
  <c r="AN34" i="22"/>
  <c r="AQ34" i="22" s="1"/>
  <c r="AS34" i="22" s="1"/>
  <c r="AN34" i="17"/>
  <c r="D89" i="17"/>
  <c r="AN16" i="17"/>
  <c r="AQ19" i="17"/>
  <c r="AT19" i="17" s="1"/>
  <c r="AU19" i="17"/>
  <c r="AN22" i="17"/>
  <c r="AQ42" i="17"/>
  <c r="AT42" i="17" s="1"/>
  <c r="AU42" i="17"/>
  <c r="AQ30" i="17"/>
  <c r="AT30" i="17" s="1"/>
  <c r="AU30" i="17"/>
  <c r="AQ18" i="17"/>
  <c r="AT18" i="17" s="1"/>
  <c r="AU18" i="17"/>
  <c r="AN28" i="22"/>
  <c r="AQ28" i="22" s="1"/>
  <c r="AS28" i="22" s="1"/>
  <c r="AQ41" i="17"/>
  <c r="AT41" i="17" s="1"/>
  <c r="AU41" i="17"/>
  <c r="AQ29" i="17"/>
  <c r="AT29" i="17" s="1"/>
  <c r="AU29" i="17"/>
  <c r="AU17" i="17"/>
  <c r="AQ17" i="17"/>
  <c r="AT17" i="17" s="1"/>
  <c r="AN32" i="22"/>
  <c r="AQ32" i="22" s="1"/>
  <c r="AS32" i="22" s="1"/>
  <c r="AN32" i="17"/>
  <c r="AN26" i="22"/>
  <c r="AQ26" i="22" s="1"/>
  <c r="AS26" i="22" s="1"/>
  <c r="AN26" i="17"/>
  <c r="AN27" i="22"/>
  <c r="AQ27" i="22" s="1"/>
  <c r="AS27" i="22" s="1"/>
  <c r="AN27" i="17"/>
  <c r="AN31" i="22"/>
  <c r="AQ31" i="22" s="1"/>
  <c r="AS31" i="22" s="1"/>
  <c r="AN31" i="17"/>
  <c r="AN28" i="17"/>
  <c r="AQ38" i="17" l="1"/>
  <c r="AT38" i="17" s="1"/>
  <c r="AU38" i="17"/>
  <c r="AU25" i="17"/>
  <c r="AQ25" i="17"/>
  <c r="AT25" i="17" s="1"/>
  <c r="AQ31" i="17"/>
  <c r="AT31" i="17" s="1"/>
  <c r="AU31" i="17"/>
  <c r="AU34" i="17"/>
  <c r="AQ34" i="17"/>
  <c r="AT34" i="17" s="1"/>
  <c r="AU27" i="17"/>
  <c r="AQ27" i="17"/>
  <c r="AT27" i="17" s="1"/>
  <c r="AU26" i="17"/>
  <c r="AQ26" i="17"/>
  <c r="AT26" i="17" s="1"/>
  <c r="AU37" i="17"/>
  <c r="AQ37" i="17"/>
  <c r="AT37" i="17" s="1"/>
  <c r="AQ32" i="17"/>
  <c r="AT32" i="17" s="1"/>
  <c r="AU32" i="17"/>
  <c r="AQ33" i="17"/>
  <c r="AT33" i="17" s="1"/>
  <c r="AU33" i="17"/>
  <c r="AU22" i="17"/>
  <c r="AQ22" i="17"/>
  <c r="AT22" i="17" s="1"/>
  <c r="AU28" i="17"/>
  <c r="AQ28" i="17"/>
  <c r="AT28" i="17" s="1"/>
  <c r="AU40" i="17"/>
  <c r="AQ40" i="17"/>
  <c r="AT40" i="17" s="1"/>
  <c r="E89" i="17"/>
  <c r="E92" i="17" s="1"/>
  <c r="AQ24" i="17"/>
  <c r="AT24" i="17" s="1"/>
  <c r="AU24" i="17"/>
  <c r="E89" i="22"/>
  <c r="E92" i="22" s="1"/>
  <c r="AN22" i="22"/>
  <c r="AQ36" i="17"/>
  <c r="AT36" i="17" s="1"/>
  <c r="AU36" i="17"/>
  <c r="AU16" i="17"/>
  <c r="AN89" i="17"/>
  <c r="AQ16" i="17"/>
  <c r="D94" i="17"/>
  <c r="AU35" i="17"/>
  <c r="AQ35" i="17"/>
  <c r="AT35" i="17" s="1"/>
  <c r="AQ91" i="17" l="1"/>
  <c r="AN92" i="17"/>
  <c r="AQ22" i="22"/>
  <c r="AN89" i="22"/>
  <c r="AU89" i="17"/>
  <c r="AT16" i="17"/>
  <c r="AT89" i="17" s="1"/>
  <c r="AQ89" i="17"/>
  <c r="AQ91" i="22" l="1"/>
  <c r="AN92" i="22"/>
  <c r="AQ89" i="22"/>
  <c r="AS22" i="22"/>
  <c r="AS89" i="22" s="1"/>
  <c r="AQ93" i="17"/>
  <c r="AQ93" i="22" l="1"/>
  <c r="D92" i="22" l="1"/>
  <c r="D92" i="17"/>
  <c r="U79" i="19" l="1"/>
  <c r="V79" i="19"/>
  <c r="L78" i="19" l="1"/>
  <c r="L79" i="19" s="1"/>
  <c r="Y79" i="19"/>
  <c r="D79" i="1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Плетнева Анастасия Сергеевна</author>
  </authors>
  <commentList>
    <comment ref="V8" authorId="0" shapeId="0" xr:uid="{6D259107-9953-4EA4-8F16-559EBE4CB5B7}">
      <text>
        <r>
          <rPr>
            <b/>
            <sz val="10"/>
            <color indexed="81"/>
            <rFont val="Tahoma"/>
            <family val="2"/>
            <charset val="204"/>
          </rPr>
          <t>Плетнева Анастасия Сергеевна:</t>
        </r>
        <r>
          <rPr>
            <sz val="10"/>
            <color indexed="81"/>
            <rFont val="Tahoma"/>
            <family val="2"/>
            <charset val="204"/>
          </rPr>
          <t xml:space="preserve">
было 200 893,00, 700 объемов * на стоимость тарифа центра здоровья 1189,36, получили 832 552. Разницу 631 659 сняли из резерва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Плетнева Анастасия Сергеевна</author>
  </authors>
  <commentList>
    <comment ref="V8" authorId="0" shapeId="0" xr:uid="{AB70E84E-B096-4F2A-B3B6-74CA0193CFE6}">
      <text>
        <r>
          <rPr>
            <b/>
            <sz val="10"/>
            <color indexed="81"/>
            <rFont val="Tahoma"/>
            <family val="2"/>
            <charset val="204"/>
          </rPr>
          <t>Плетнева Анастасия Сергеевна:</t>
        </r>
        <r>
          <rPr>
            <sz val="10"/>
            <color indexed="81"/>
            <rFont val="Tahoma"/>
            <family val="2"/>
            <charset val="204"/>
          </rPr>
          <t xml:space="preserve">
было 200 893,00, 700 объемов * на стоимость тарифа центра здоровья 1189,36, получили 832 552. Разницу 631 659 сняли из резерва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Плетнева Анастасия Сергеевна</author>
  </authors>
  <commentList>
    <comment ref="V8" authorId="0" shapeId="0" xr:uid="{D09D5B6A-0D6B-49B1-A4DA-FF80B4384D98}">
      <text>
        <r>
          <rPr>
            <b/>
            <sz val="10"/>
            <color indexed="81"/>
            <rFont val="Tahoma"/>
            <family val="2"/>
            <charset val="204"/>
          </rPr>
          <t>Плетнева Анастасия Сергеевна:</t>
        </r>
        <r>
          <rPr>
            <sz val="10"/>
            <color indexed="81"/>
            <rFont val="Tahoma"/>
            <family val="2"/>
            <charset val="204"/>
          </rPr>
          <t xml:space="preserve">
было 200 893,00, 700 объемов * на стоимость тарифа центра здоровья 1189,36, получили 832 552. Разницу 631 659 сняли из резерва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Плетнева Анастасия Сергеевна</author>
  </authors>
  <commentList>
    <comment ref="V8" authorId="0" shapeId="0" xr:uid="{61B9026F-5BC4-4D43-A7B2-17657EAD89A7}">
      <text>
        <r>
          <rPr>
            <b/>
            <sz val="10"/>
            <color indexed="81"/>
            <rFont val="Tahoma"/>
            <family val="2"/>
            <charset val="204"/>
          </rPr>
          <t>Плетнева Анастасия Сергеевна:</t>
        </r>
        <r>
          <rPr>
            <sz val="10"/>
            <color indexed="81"/>
            <rFont val="Tahoma"/>
            <family val="2"/>
            <charset val="204"/>
          </rPr>
          <t xml:space="preserve">
было 200 893,00, 700 объемов * на стоимость тарифа центра здоровья 1189,36, получили 832 552. Разницу 631 659 сняли из резерва </t>
        </r>
      </text>
    </comment>
  </commentList>
</comments>
</file>

<file path=xl/sharedStrings.xml><?xml version="1.0" encoding="utf-8"?>
<sst xmlns="http://schemas.openxmlformats.org/spreadsheetml/2006/main" count="1601" uniqueCount="365">
  <si>
    <t xml:space="preserve">Приложение № 1.1 </t>
  </si>
  <si>
    <t xml:space="preserve">к протоколу № 13  заседания Комиссии </t>
  </si>
  <si>
    <t>от  30 декабря 2020 года</t>
  </si>
  <si>
    <t xml:space="preserve">Базовая Программа ОМС 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</si>
  <si>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</si>
  <si>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</si>
  <si>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</si>
  <si>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Обращения по поводу заболевания</t>
  </si>
  <si>
    <t>в т.ч. Услуги диализа</t>
  </si>
  <si>
    <t>Посещения с профилактическими и иными целями</t>
  </si>
  <si>
    <t>Посещения в неотложной форме</t>
  </si>
  <si>
    <t>ОФС, тыс. руб.</t>
  </si>
  <si>
    <t>ОМП</t>
  </si>
  <si>
    <t>ОФС, тыс.руб.</t>
  </si>
  <si>
    <t>ГБУЗ "Областная клиническая больница КО"</t>
  </si>
  <si>
    <t>ФГБУ "ФЦВМТ" Минздрава России  (г.Калининград)</t>
  </si>
  <si>
    <t>ГБУЗ "Детская областная больница КО"</t>
  </si>
  <si>
    <t xml:space="preserve">ГБУЗ "Центр специализированных видов медицинской помощи КО" </t>
  </si>
  <si>
    <t>ГБУЗ "Инфекционная больница КО"</t>
  </si>
  <si>
    <t>ГАУ КО "Региональный перинатальный центр"</t>
  </si>
  <si>
    <t>ГБУЗ КО "Центральная городская клиническая больница"</t>
  </si>
  <si>
    <t>ГБУЗ КО "Городская станция скорой  медицинской помощи"</t>
  </si>
  <si>
    <t>ГБУЗ КО "Городская клиническая больница скорой  медицинской помощи"</t>
  </si>
  <si>
    <t>ГБУЗ КО "Городская больница № 2"</t>
  </si>
  <si>
    <t>ГБУЗ КО "Городская больница № 3"</t>
  </si>
  <si>
    <t>ГБУЗ КО "Городская больница № 4"</t>
  </si>
  <si>
    <t xml:space="preserve">ГБУЗ КО "Городская поликлиника № 3"  </t>
  </si>
  <si>
    <t xml:space="preserve">ГБУЗ КО "Родильный дом КО № 3" </t>
  </si>
  <si>
    <t xml:space="preserve">ГБУЗ КО "Родильный дом КО № 4" 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</si>
  <si>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</si>
  <si>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</si>
  <si>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</si>
  <si>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</si>
  <si>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</si>
  <si>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</si>
  <si>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</si>
  <si>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</si>
  <si>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</si>
  <si>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</si>
  <si>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</si>
  <si>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</si>
  <si>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</si>
  <si>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</si>
  <si>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</si>
  <si>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</si>
  <si>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</si>
  <si>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инфекционная больница"</t>
  </si>
  <si>
    <t>ГБУЗ КО "Черняховская ЦРБ"</t>
  </si>
  <si>
    <t>ЧУЗ "РЖД - МЕДИЦИНА" г.Калининград</t>
  </si>
  <si>
    <t>ФГБУ "1409 Военно-морской клинический госпиталь МО РФ"</t>
  </si>
  <si>
    <t>ФКУЗ "МСЧ МВД РФ по КО"</t>
  </si>
  <si>
    <t>ООО "Альтернатива"</t>
  </si>
  <si>
    <t>ООО "Мастер-слух"</t>
  </si>
  <si>
    <t>АНО "ЦОП ДП "Ясный взор"</t>
  </si>
  <si>
    <t>МЧУДПО "Нефросовет"</t>
  </si>
  <si>
    <t xml:space="preserve">ООО "Радуга звуков" </t>
  </si>
  <si>
    <t>ООО "Городская амбулатория"</t>
  </si>
  <si>
    <t>ООО "Б.Браун"</t>
  </si>
  <si>
    <t>ООО "ЛПУ "АДЦ"</t>
  </si>
  <si>
    <t>ООО "Центр-Доктор" (ЭКО)</t>
  </si>
  <si>
    <t>ООО "ЦИЭР "ЭМБРИЛАЙФ" (ЭКО)</t>
  </si>
  <si>
    <t>ООО "БИРЧ" (ЭКО)</t>
  </si>
  <si>
    <t>ООО "Ай-Клиник С-З" (ЭКО)</t>
  </si>
  <si>
    <t>ООО "ЦЕНТР ЭКО" (ЭКО)</t>
  </si>
  <si>
    <t>ЗАО "СЗ Центр доказательной медицины "(г.Санкт-Петербург)</t>
  </si>
  <si>
    <t>ООО "ВиоМар Плюс"</t>
  </si>
  <si>
    <t xml:space="preserve">ООО "Диагностика Здоровья"    </t>
  </si>
  <si>
    <t>ООО "М-лайн"</t>
  </si>
  <si>
    <t>ООО "МРТ-Эксперт Калининград"</t>
  </si>
  <si>
    <t>ООО "НМЦ клинической лабораторной диагностики Ситилаб"</t>
  </si>
  <si>
    <t>ООО "НПФ "ХЕЛИКС"(г.Санкт-Петербург)</t>
  </si>
  <si>
    <t>ООО "Ситилаб-Калининград"</t>
  </si>
  <si>
    <t>ФГАОУВО "БФУ им. И.Канта"</t>
  </si>
  <si>
    <t>ООО "ЛДЦ Международного института биологических систем - Калининград"</t>
  </si>
  <si>
    <t>Межтерриториальные расчеты</t>
  </si>
  <si>
    <t>ИТОГО:</t>
  </si>
  <si>
    <t>ИТОГО по Стоматологии</t>
  </si>
  <si>
    <t>ИТОГО по ТП</t>
  </si>
  <si>
    <t>Объёмы оказания амбулаторной стоматологической медицинской помощи и объемы финансовых средств в системе обязательного медицинского страхования на  2021 год</t>
  </si>
  <si>
    <t>ИТОГО без МТР и рез.</t>
  </si>
  <si>
    <t>Среднемесячный ОФС</t>
  </si>
  <si>
    <t>Среднемесячный ОФС со стоматологией</t>
  </si>
  <si>
    <t>с изменением от 26 .02.2021г.</t>
  </si>
  <si>
    <t>ГБУЗ "Центр общественного здоровья и медицинской профилактики КО"</t>
  </si>
  <si>
    <t xml:space="preserve">ГБУЗ КО "Городская детская поликлиника "  </t>
  </si>
  <si>
    <t>Посещения в неотложной форме+Стоматология</t>
  </si>
  <si>
    <t>АПП+Стом.ОФС, тыс. руб.</t>
  </si>
  <si>
    <t>ГБУЗ КО "ГК БСМП"</t>
  </si>
  <si>
    <t>ГБУЗ "ОКБ КО"</t>
  </si>
  <si>
    <t>ГБУЗ "ДОБ КО"</t>
  </si>
  <si>
    <t>ГАУ КО "РПЦ"</t>
  </si>
  <si>
    <t>ООО "НПФ "ХЕЛИКС"</t>
  </si>
  <si>
    <t>ГБУЗ КО "ГБ № 3"</t>
  </si>
  <si>
    <t>ГБУЗ КО "ГБ № 2"</t>
  </si>
  <si>
    <t>ГБУЗ КО "ГБ № 4"</t>
  </si>
  <si>
    <t>ГБУЗ КО "ЦГКБ"</t>
  </si>
  <si>
    <t>ГБУЗ КО "МРБ №1"</t>
  </si>
  <si>
    <t>ОФС,тыс.руб.</t>
  </si>
  <si>
    <t>ГБУЗ "ЦСВМП КО"</t>
  </si>
  <si>
    <t>ГБУЗ КО "ГП № 3"</t>
  </si>
  <si>
    <t>ГБУЗ КО "Славская  ЦРБ"</t>
  </si>
  <si>
    <t>ГБУЗ КО "Черняховская  ЦРБ"</t>
  </si>
  <si>
    <t>ГБУЗ КО "Правдинская  ЦРБ"</t>
  </si>
  <si>
    <t>ГБУЗ "Инф.больница КО"</t>
  </si>
  <si>
    <t>ФГБУ "ФЦ ВМТ"МЗ РФ</t>
  </si>
  <si>
    <t>Резерв:</t>
  </si>
  <si>
    <t>ГБУЗ КО "МРБ№1"</t>
  </si>
  <si>
    <t>подуш</t>
  </si>
  <si>
    <t>исп.усл.</t>
  </si>
  <si>
    <t xml:space="preserve"> в т.ч. Диагностические услуги(из приложения 3.3.1)</t>
  </si>
  <si>
    <t>справочно: в т.ч. Диагностические услуги расчет по которым производят фондодержатели</t>
  </si>
  <si>
    <t>ГБУЗ "ЦОЗмМП КО"</t>
  </si>
  <si>
    <t>ГБУЗ КО "Гор. ССМП"</t>
  </si>
  <si>
    <t>ГБУЗ КО "РД № 3"</t>
  </si>
  <si>
    <t>ГБУЗ КО "РД № 4"</t>
  </si>
  <si>
    <t>ФКУЗ "МСЧ МВД РФ КО"</t>
  </si>
  <si>
    <t>ГБУЗ КО "ГДП"</t>
  </si>
  <si>
    <t>ГБУЗ КО "Полесская  ЦРБ"</t>
  </si>
  <si>
    <t>ФГКУ "1409 ВМКГ" МО РФ</t>
  </si>
  <si>
    <t xml:space="preserve">ЧУЗ «Бол-ца «РЖД-Медицина» </t>
  </si>
  <si>
    <t>ООО "ДИАГНОСТИКА ЗДОРОВЬЯ"</t>
  </si>
  <si>
    <t>ООО "ЛДЦ МИБС - Калининград"</t>
  </si>
  <si>
    <t>ООО "ВИТАЛАБ"</t>
  </si>
  <si>
    <t>ООО "СИТИЛАБ-КАЛИНИНГРАД"</t>
  </si>
  <si>
    <t>ООО "НМЦ КЛД СИТИЛАБ"</t>
  </si>
  <si>
    <t>ЗАО "СЗЦДМ" (г.Санкт-Петербург)</t>
  </si>
  <si>
    <t>ООО "ЯМТ" (г.Москва)</t>
  </si>
  <si>
    <t>ООО "МЦ "ВИОМАР"</t>
  </si>
  <si>
    <t>ООО "АЛЕКСАНДР ДЕНТ"</t>
  </si>
  <si>
    <t>ООО "Асдент"</t>
  </si>
  <si>
    <t>ООО "Амати"</t>
  </si>
  <si>
    <t>ООО "Гранддент Стоматология"</t>
  </si>
  <si>
    <t>ООО "ТРИАДЕНТ"</t>
  </si>
  <si>
    <t>ООО "ПАРАЦЕЛЬС-БАЛТИК"</t>
  </si>
  <si>
    <t>ООО "Зуб здоров"</t>
  </si>
  <si>
    <t>ООО "ЛофтДент"</t>
  </si>
  <si>
    <t>ООО "Центр ПАРОДОНТОЛОГИИ"</t>
  </si>
  <si>
    <t>ООО "Эстетика"</t>
  </si>
  <si>
    <t>ООО "Стомик"</t>
  </si>
  <si>
    <t>ООО "Апполония"</t>
  </si>
  <si>
    <t>ЗАО "Центродент"</t>
  </si>
  <si>
    <t>ГБСОУ "Госпиталь ветеранов войн"</t>
  </si>
  <si>
    <t>ГБУЗ КО "Черняховская СП"</t>
  </si>
  <si>
    <t>ГБУЗ КО "Советская СП"</t>
  </si>
  <si>
    <t>ГБУЗ "Городская СП"</t>
  </si>
  <si>
    <t>ГБУЗ "Городская детская СП"</t>
  </si>
  <si>
    <t>ГАУЗ "Областная СП КО"</t>
  </si>
  <si>
    <t>ОФС, руб.</t>
  </si>
  <si>
    <t>неотл. по стом.</t>
  </si>
  <si>
    <t>посещения по стом.</t>
  </si>
  <si>
    <t>обращения по стом.</t>
  </si>
  <si>
    <t>Посещения по неотложной МП</t>
  </si>
  <si>
    <t xml:space="preserve"> Углубленная диспансеризация</t>
  </si>
  <si>
    <t>ЭКО (КРИО)</t>
  </si>
  <si>
    <t>ФАП</t>
  </si>
  <si>
    <t>Диспансеризация</t>
  </si>
  <si>
    <t>Проф. мероприятия</t>
  </si>
  <si>
    <t>Посещения в подуш.</t>
  </si>
  <si>
    <t>Диализ</t>
  </si>
  <si>
    <t>Диагностика за 1 ОМП</t>
  </si>
  <si>
    <t>Обращения  за 1 ОМП</t>
  </si>
  <si>
    <t>Обращения в подуш.</t>
  </si>
  <si>
    <t xml:space="preserve"> Наименование МО </t>
  </si>
  <si>
    <t>Код МО</t>
  </si>
  <si>
    <t>Подушевой</t>
  </si>
  <si>
    <t>За 1 ОМП:</t>
  </si>
  <si>
    <t>За 1 ОМП (без ДУ)</t>
  </si>
  <si>
    <t>в т.ч.углубленная диспансеризация</t>
  </si>
  <si>
    <t>Посещения за 1 ОМП (н/ф)</t>
  </si>
  <si>
    <t>без диализа</t>
  </si>
  <si>
    <t>МБТ</t>
  </si>
  <si>
    <t>Мед. Реабилитация за 1 ОМП</t>
  </si>
  <si>
    <t>ИТОГО: без стомат.:</t>
  </si>
  <si>
    <t>ср.стоим.1 случ.</t>
  </si>
  <si>
    <t>по фондодержателям</t>
  </si>
  <si>
    <t>Стомат.</t>
  </si>
  <si>
    <t>ср.стоим.</t>
  </si>
  <si>
    <t>ФГБУ ДОС "ПИОНЕРСК" МЗ РФ</t>
  </si>
  <si>
    <t>проверка</t>
  </si>
  <si>
    <t>ООО "МЦ ЭСКУЛАП"</t>
  </si>
  <si>
    <t>ГБУ КО "РПЦ"</t>
  </si>
  <si>
    <t>ГБУЗ КО "Гурьевская ЦРБ"</t>
  </si>
  <si>
    <t>ГБУЗ "Областная СП КО"</t>
  </si>
  <si>
    <t>Объёмы оказания амбулаторной  медицинской помощи и объемы финансовых средств в системе обязательного медицинского страхования на  2023 год</t>
  </si>
  <si>
    <t xml:space="preserve">к протоколу № 14  заседания Комиссии </t>
  </si>
  <si>
    <t>от  30 декабря 2022 года</t>
  </si>
  <si>
    <t xml:space="preserve"> в т.ч. ДУ_3.3.10.1</t>
  </si>
  <si>
    <t>справочно: в т.ч. ДУ</t>
  </si>
  <si>
    <t>Профосмотры</t>
  </si>
  <si>
    <t>в т.ч.диспансеризация</t>
  </si>
  <si>
    <t>в т.ч.профосмотры</t>
  </si>
  <si>
    <t>в т.ч.диспансерное наблюдение</t>
  </si>
  <si>
    <t>в т.ч.медицинская реабилитация</t>
  </si>
  <si>
    <t>ООО "Б.Браун Авитум Руссланд Клиникс"</t>
  </si>
  <si>
    <t xml:space="preserve">ООО "ЛПУ "Амбулаторный диализный центр" </t>
  </si>
  <si>
    <t>ООО "МЦ Эскулап"</t>
  </si>
  <si>
    <t>ООО "Медицинский центр "ВиоМар"</t>
  </si>
  <si>
    <t>АО  "МЕДИЦИНА"</t>
  </si>
  <si>
    <t>АО "СЗ Центр доказательной медицины "(г.Санкт-Петербург)</t>
  </si>
  <si>
    <t>ООО  "АВ медикал групп"</t>
  </si>
  <si>
    <t>ООО "Виталаб"</t>
  </si>
  <si>
    <t>ООО "ГЕМОТЕСТ ЛЕНИНГРАД"</t>
  </si>
  <si>
    <t>ООО "КЛИНИКА "ДОБРЫЙ ДОКТОРЪ"</t>
  </si>
  <si>
    <t xml:space="preserve">ООО "МРТ-Эксперт Калининград" </t>
  </si>
  <si>
    <t>ООО "НПФ "ХЕЛИКС" (г.Санкт-Петербург)</t>
  </si>
  <si>
    <t>ФГБУ ДОС "Пионерск"  МЗ РФ</t>
  </si>
  <si>
    <t>ООО "Онкологический  Научный центр"</t>
  </si>
  <si>
    <t>ООО "СПЕКТР КАЛИНИНГРАД"</t>
  </si>
  <si>
    <t>ООО "ТИЛЬЗИТСКАЯ ВОЛНА</t>
  </si>
  <si>
    <t>ООО "Эстетика плюс"</t>
  </si>
  <si>
    <t>Диспансерное наблюдение</t>
  </si>
  <si>
    <t>Неотложная МП</t>
  </si>
  <si>
    <t>Медреабилитация</t>
  </si>
  <si>
    <t>отклонение</t>
  </si>
  <si>
    <t>Стоматология</t>
  </si>
  <si>
    <t>ВСЕГО:</t>
  </si>
  <si>
    <t>ТП ОМС</t>
  </si>
  <si>
    <t xml:space="preserve">Базовая Прогр_ОМС </t>
  </si>
  <si>
    <t>Обращения  за 1 ОМП (н/ф)</t>
  </si>
  <si>
    <t>посещ.</t>
  </si>
  <si>
    <t>обращ.</t>
  </si>
  <si>
    <t>АПП за 1 ОМП</t>
  </si>
  <si>
    <t>в т.ч.посещ по ПМ</t>
  </si>
  <si>
    <t>ОФС_ПМ, руб.</t>
  </si>
  <si>
    <t>Посещения  за 1 ОМП (н/ф)+неотл.</t>
  </si>
  <si>
    <t>Приложение № 1.1</t>
  </si>
  <si>
    <t xml:space="preserve">к протоколу № 14 заседания Комиссии </t>
  </si>
  <si>
    <t>от 30 декабря 2022 года</t>
  </si>
  <si>
    <t>Стоматология с МТР</t>
  </si>
  <si>
    <t>МТР</t>
  </si>
  <si>
    <t>резерв</t>
  </si>
  <si>
    <t>без угл.д.</t>
  </si>
  <si>
    <t>Неотложная МП в подушевом</t>
  </si>
  <si>
    <t>за 1 ОМП ст.16,17</t>
  </si>
  <si>
    <t>в т.ч."Школа сахарного диабета"</t>
  </si>
  <si>
    <t>в т.ч.медицинская реабилитация, на дому</t>
  </si>
  <si>
    <t>в т.ч.медицинская реабилитация, с применением телемедицинских технологий на дому</t>
  </si>
  <si>
    <t>ООО "Алмаз"</t>
  </si>
  <si>
    <t>МТР, резерв</t>
  </si>
  <si>
    <t>фондод.</t>
  </si>
  <si>
    <t>Наименование МО</t>
  </si>
  <si>
    <t xml:space="preserve">Обращения
</t>
  </si>
  <si>
    <t>ОФС обр.</t>
  </si>
  <si>
    <t>ОФС в подушевом</t>
  </si>
  <si>
    <t xml:space="preserve">Посещения с иными целями
</t>
  </si>
  <si>
    <t>ОФС посещ.</t>
  </si>
  <si>
    <t xml:space="preserve">Неотложная помощь
</t>
  </si>
  <si>
    <t>ИТОГО фондодержатели:</t>
  </si>
  <si>
    <t>угл.дисп.</t>
  </si>
  <si>
    <t>диспанс.</t>
  </si>
  <si>
    <t>ПО</t>
  </si>
  <si>
    <t>Дисп.набл.</t>
  </si>
  <si>
    <t>Медреаб. (ФД)</t>
  </si>
  <si>
    <t>ИТОГО без стомат:</t>
  </si>
  <si>
    <t>ОФС обр. (откор.)</t>
  </si>
  <si>
    <t>ОФС посещ.(откор.)</t>
  </si>
  <si>
    <t>% посещ.</t>
  </si>
  <si>
    <t>% обращ.</t>
  </si>
  <si>
    <t>ИТОГО откор.:</t>
  </si>
  <si>
    <t>Объем финансовых средств, МО, финансируемых по подушевому нормативу (с учетом стимулирующих выплат и удержаний), руб.</t>
  </si>
  <si>
    <t>ИТОГО нов.:</t>
  </si>
  <si>
    <t>медицинская реабилитация</t>
  </si>
  <si>
    <t>ГБУЗ КО "Светловская ЦРБ"</t>
  </si>
  <si>
    <t>ООО "Онкологический  НЦ"</t>
  </si>
  <si>
    <t>ГБУЗ "РЦ СМП МК"</t>
  </si>
  <si>
    <t>профы</t>
  </si>
  <si>
    <t>ООО "Клиника на Пражской"</t>
  </si>
  <si>
    <t xml:space="preserve">ООО "ЛПУ "Амбулаторный ДЦ" </t>
  </si>
  <si>
    <t>отклонение (МБТ)</t>
  </si>
  <si>
    <t>Подушевой (с ФАП)</t>
  </si>
  <si>
    <t>Диагностика за 1 ОМП (3.3.10.1.+3.3.10(+)-3.3.10(-)</t>
  </si>
  <si>
    <t>школа сах.диаб.</t>
  </si>
  <si>
    <t>отклонения</t>
  </si>
  <si>
    <t>Взаиморасчеты</t>
  </si>
  <si>
    <t>ТП ОМС-факт 2023</t>
  </si>
  <si>
    <t xml:space="preserve">в т.ч.диспансеризация </t>
  </si>
  <si>
    <t>Обращения по поводу заболевания (без медреаб)</t>
  </si>
  <si>
    <t xml:space="preserve">отклонения </t>
  </si>
  <si>
    <t>ГБУЗ "ЦОЗиМП КО"</t>
  </si>
  <si>
    <t>ГБУЗ -</t>
  </si>
  <si>
    <t>Государственное бюджетное учреждение здравоохранения</t>
  </si>
  <si>
    <t>ФКУ -</t>
  </si>
  <si>
    <t xml:space="preserve">Федеральное казначейское  учреждение </t>
  </si>
  <si>
    <t>НПФ-</t>
  </si>
  <si>
    <t>Научно-производственная Фирма</t>
  </si>
  <si>
    <t xml:space="preserve">КО - </t>
  </si>
  <si>
    <t>Калининградская область</t>
  </si>
  <si>
    <t>МСЧ-</t>
  </si>
  <si>
    <t>Медицинская санитарная часть</t>
  </si>
  <si>
    <t>ЦРБ-</t>
  </si>
  <si>
    <t>Центральная районная больница</t>
  </si>
  <si>
    <t>МО РФ</t>
  </si>
  <si>
    <t>Министерство обороны Российской Федерации</t>
  </si>
  <si>
    <t>ЦГБ-</t>
  </si>
  <si>
    <t>Центральная городская больница</t>
  </si>
  <si>
    <t>Объем  медицинской помощи</t>
  </si>
  <si>
    <t xml:space="preserve">ЧУЗ - </t>
  </si>
  <si>
    <t>Частное учреждение здравоохранения</t>
  </si>
  <si>
    <t>ОФС</t>
  </si>
  <si>
    <t>Объем финансовых средств</t>
  </si>
  <si>
    <t>РЖД-</t>
  </si>
  <si>
    <t>Российские железные дороги</t>
  </si>
  <si>
    <t>НМЦ</t>
  </si>
  <si>
    <t>Научно-методический центр</t>
  </si>
  <si>
    <t xml:space="preserve">ООО - </t>
  </si>
  <si>
    <t>Общество с ограниченной ответственностью</t>
  </si>
  <si>
    <t>ЛДЦ</t>
  </si>
  <si>
    <t>Лечебно-диагностический центр</t>
  </si>
  <si>
    <t>ЗАО -</t>
  </si>
  <si>
    <t>Закрытое акционерное общество</t>
  </si>
  <si>
    <t>МЦ</t>
  </si>
  <si>
    <t>Медицинский центр</t>
  </si>
  <si>
    <t>ФГБУ -</t>
  </si>
  <si>
    <t xml:space="preserve">Федеральное государственное бюджетное учреждение </t>
  </si>
  <si>
    <t>ЛПУ-</t>
  </si>
  <si>
    <t>Лечебно-профилактическое учреждение</t>
  </si>
  <si>
    <t>ФКУЗ -</t>
  </si>
  <si>
    <t>Федеральное казначейское  учреждение здравоохранения</t>
  </si>
  <si>
    <t>АНО-</t>
  </si>
  <si>
    <t>Автономная некоммерческая организация</t>
  </si>
  <si>
    <t>ГБ СОУ-</t>
  </si>
  <si>
    <t>Государственное бюджетное социально-оздоровительное учреждение</t>
  </si>
  <si>
    <t>ЦОП-</t>
  </si>
  <si>
    <t>Центр офтальмологической помощи</t>
  </si>
  <si>
    <t>МЧУДПО-</t>
  </si>
  <si>
    <t>Медицинское частное учреждение дополнительного профессионального образования</t>
  </si>
  <si>
    <t>ДП-</t>
  </si>
  <si>
    <t>Детская поликлиника</t>
  </si>
  <si>
    <t>Медицинская реабилитация</t>
  </si>
  <si>
    <t>Объёмы оказания амбулаторной  медицинской помощи и объемы финансовых средств в системе обязательного медицинского страхования в  2023 г.</t>
  </si>
  <si>
    <t>ГБУ КО "Региональный перинатальный центр"</t>
  </si>
  <si>
    <t>ГБУЗ "Центр специализированных видов медицинской помощи КО"</t>
  </si>
  <si>
    <t>ГБУЗ КО "Городская клиническая БСМП"</t>
  </si>
  <si>
    <t xml:space="preserve">ГБУЗ  "Региональный центр СМП и медицины катастроф КО" </t>
  </si>
  <si>
    <t>ГБУЗ КО "Родильный дом № 3"</t>
  </si>
  <si>
    <t>ГБУЗ КО "Родильный дом № 4"</t>
  </si>
  <si>
    <t>ФКУЗ "Медсанчасть МВД РФ по КО"</t>
  </si>
  <si>
    <t>ФГБУ "ФЦ ВМТ" МЗ РФ (г. Калининград)</t>
  </si>
  <si>
    <t>ГБУЗ КО "Городская поликлиника № 3"</t>
  </si>
  <si>
    <t>ГБУЗ КО "Городская детская поликлиника"</t>
  </si>
  <si>
    <t>ГБУЗ КО "Межрайонная больница №1"</t>
  </si>
  <si>
    <t>ФГБУ "1409 ВМКГ" МО РФ"</t>
  </si>
  <si>
    <t>ЧУЗ «Больница «РЖД-Медицина» г.Калининград</t>
  </si>
  <si>
    <t>ГБУЗ "Областная стоматологическая поликлиника КО"</t>
  </si>
  <si>
    <t>ГБУЗ КО "Городская детская СП"</t>
  </si>
  <si>
    <t>ГБУЗ КО "Городская стоматологическая поликлиника"</t>
  </si>
  <si>
    <t>ГБСОУ КО "Госпиталь ветеранов войн"</t>
  </si>
  <si>
    <t>ООО "Центр пародонтологии"</t>
  </si>
  <si>
    <t>ООО "Лофтдент"</t>
  </si>
  <si>
    <t>ООО "Парацельс-Балтик"</t>
  </si>
  <si>
    <t>ООО "Триадент"</t>
  </si>
  <si>
    <t>ООО "Гранд дент стоматология"</t>
  </si>
  <si>
    <t>ООО "ЭСТЕТИКА ПЛЮС"</t>
  </si>
  <si>
    <t xml:space="preserve">ООО "ЛПУ "Амбулаторный Диализный центр" </t>
  </si>
  <si>
    <t>ООО "МЦ "ВиоМар"</t>
  </si>
  <si>
    <t>ООО "Мастерслух"</t>
  </si>
  <si>
    <t>АНО "ЦОПДиП "Ясный взор"</t>
  </si>
  <si>
    <t>АО "СЗ центр доказательной медицины"</t>
  </si>
  <si>
    <t>ООО "МЦ "ВиоМар Плюс"</t>
  </si>
  <si>
    <t>ООО "ЛДЦ МИБС-КАЛИНИНГРАД"</t>
  </si>
  <si>
    <t>ООО "НМЦКЛД Ситилаб"</t>
  </si>
  <si>
    <t xml:space="preserve"> ФГБУ ДОС "Пионерск"  МЗ РФ</t>
  </si>
  <si>
    <t xml:space="preserve">к Выписке из Протокола заседания № 2 </t>
  </si>
  <si>
    <t>Комиссии от 29.02.2024 года</t>
  </si>
  <si>
    <t xml:space="preserve">Приложение № 15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</si>
</sst>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#,##0.0"/>
    <numFmt numFmtId="166" formatCode="#,##0.000"/>
    <numFmt numFmtId="167" formatCode="#,##0.00_ ;\-#,##0.00\ "/>
    <numFmt numFmtId="168" formatCode="#,##0.00\ &quot;₽&quot;"/>
    <numFmt numFmtId="169" formatCode="0.0%"/>
    <numFmt numFmtId="170" formatCode="_-* #,##0_-;\-* #,##0_-;_-* &quot;-&quot;??_-;_-@_-"/>
    <numFmt numFmtId="171" formatCode="#,##0.000000"/>
  </numFmts>
  <fonts count="6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2"/>
      <name val="Calibri Light"/>
      <family val="2"/>
      <charset val="204"/>
      <scheme val="major"/>
    </font>
    <font>
      <sz val="11"/>
      <name val="Calibri"/>
      <family val="2"/>
      <charset val="204"/>
      <scheme val="minor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12"/>
      <color rgb="FF7030A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theme="5" tint="-0.249977111117893"/>
      <name val="Times New Roman"/>
      <family val="1"/>
      <charset val="204"/>
    </font>
    <font>
      <b/>
      <i/>
      <sz val="11"/>
      <color rgb="FF0070C0"/>
      <name val="Times New Roman"/>
      <family val="1"/>
      <charset val="204"/>
    </font>
    <font>
      <sz val="11"/>
      <name val="Calibri Light"/>
      <family val="2"/>
      <charset val="204"/>
      <scheme val="major"/>
    </font>
    <font>
      <i/>
      <sz val="11"/>
      <color rgb="FF0070C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2" fillId="0" borderId="0"/>
    <xf numFmtId="0" fontId="18" fillId="0" borderId="0"/>
    <xf numFmtId="9" fontId="39" fillId="0" borderId="0" applyFont="0" applyFill="0" applyBorder="0" applyAlignment="0" applyProtection="0"/>
    <xf numFmtId="0" fontId="56" fillId="0" borderId="0"/>
    <xf numFmtId="0" fontId="12" fillId="0" borderId="0"/>
    <xf numFmtId="0" fontId="56" fillId="0" borderId="0"/>
    <xf numFmtId="0" fontId="12" fillId="0" borderId="0"/>
    <xf numFmtId="43" fontId="12" fillId="0" borderId="0" applyFont="0" applyFill="0" applyBorder="0" applyAlignment="0" applyProtection="0"/>
    <xf numFmtId="0" fontId="39" fillId="0" borderId="0"/>
  </cellStyleXfs>
  <cellXfs count="6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left" vertical="center"/>
    </xf>
    <xf numFmtId="0" fontId="4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 vertical="center"/>
    </xf>
    <xf numFmtId="0" fontId="6" fillId="0" borderId="0" xfId="0" applyFont="1"/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3" fontId="9" fillId="0" borderId="0" xfId="0" applyNumberFormat="1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3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0" fontId="10" fillId="0" borderId="0" xfId="0" applyFont="1"/>
    <xf numFmtId="0" fontId="8" fillId="0" borderId="0" xfId="0" applyFont="1" applyAlignment="1">
      <alignment horizontal="center" vertical="top" wrapText="1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3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3" fontId="2" fillId="0" borderId="0" xfId="0" applyNumberFormat="1" applyFont="1"/>
    <xf numFmtId="4" fontId="9" fillId="0" borderId="0" xfId="0" applyNumberFormat="1" applyFont="1"/>
    <xf numFmtId="165" fontId="5" fillId="0" borderId="0" xfId="0" applyNumberFormat="1" applyFont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/>
    <xf numFmtId="4" fontId="10" fillId="0" borderId="0" xfId="0" applyNumberFormat="1" applyFont="1"/>
    <xf numFmtId="4" fontId="5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15" fillId="2" borderId="1" xfId="0" applyFont="1" applyFill="1" applyBorder="1" applyAlignment="1">
      <alignment vertical="top" wrapText="1"/>
    </xf>
    <xf numFmtId="0" fontId="15" fillId="0" borderId="1" xfId="0" applyFont="1" applyBorder="1"/>
    <xf numFmtId="0" fontId="15" fillId="0" borderId="1" xfId="0" applyFont="1" applyBorder="1" applyAlignment="1">
      <alignment vertical="top" wrapText="1"/>
    </xf>
    <xf numFmtId="3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0" applyFont="1"/>
    <xf numFmtId="0" fontId="19" fillId="3" borderId="4" xfId="2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3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center"/>
    </xf>
    <xf numFmtId="4" fontId="7" fillId="0" borderId="0" xfId="0" applyNumberFormat="1" applyFont="1"/>
    <xf numFmtId="3" fontId="1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9" fillId="3" borderId="1" xfId="2" applyFont="1" applyFill="1" applyBorder="1" applyAlignment="1">
      <alignment horizontal="center" vertical="center" wrapText="1"/>
    </xf>
    <xf numFmtId="0" fontId="20" fillId="0" borderId="0" xfId="2" applyFont="1"/>
    <xf numFmtId="0" fontId="20" fillId="0" borderId="0" xfId="2" applyFont="1" applyAlignment="1">
      <alignment vertical="top"/>
    </xf>
    <xf numFmtId="3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8" fillId="0" borderId="0" xfId="0" applyNumberFormat="1" applyFont="1"/>
    <xf numFmtId="4" fontId="17" fillId="0" borderId="0" xfId="0" applyNumberFormat="1" applyFont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3" fontId="13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21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3" fontId="13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3" fontId="8" fillId="0" borderId="1" xfId="0" applyNumberFormat="1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4" fillId="0" borderId="5" xfId="0" applyNumberFormat="1" applyFont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4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justify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2" xfId="0" applyFont="1" applyBorder="1" applyAlignment="1">
      <alignment vertical="top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vertical="top" wrapText="1"/>
    </xf>
    <xf numFmtId="0" fontId="23" fillId="0" borderId="6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top"/>
    </xf>
    <xf numFmtId="0" fontId="23" fillId="0" borderId="0" xfId="0" applyFont="1" applyAlignment="1">
      <alignment vertical="top"/>
    </xf>
    <xf numFmtId="0" fontId="24" fillId="0" borderId="1" xfId="0" applyFont="1" applyBorder="1" applyAlignment="1">
      <alignment horizontal="center" vertical="center"/>
    </xf>
    <xf numFmtId="3" fontId="23" fillId="0" borderId="5" xfId="0" applyNumberFormat="1" applyFont="1" applyBorder="1" applyAlignment="1">
      <alignment horizontal="center" vertical="center"/>
    </xf>
    <xf numFmtId="4" fontId="23" fillId="0" borderId="5" xfId="0" applyNumberFormat="1" applyFont="1" applyBorder="1" applyAlignment="1">
      <alignment vertical="center"/>
    </xf>
    <xf numFmtId="3" fontId="28" fillId="0" borderId="5" xfId="0" applyNumberFormat="1" applyFont="1" applyBorder="1" applyAlignment="1">
      <alignment horizontal="center" vertical="center"/>
    </xf>
    <xf numFmtId="4" fontId="28" fillId="0" borderId="5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2" xfId="0" applyFont="1" applyBorder="1" applyAlignment="1">
      <alignment vertical="center"/>
    </xf>
    <xf numFmtId="0" fontId="29" fillId="0" borderId="0" xfId="0" applyFont="1"/>
    <xf numFmtId="0" fontId="30" fillId="0" borderId="1" xfId="0" applyFont="1" applyBorder="1" applyAlignment="1">
      <alignment horizontal="center" vertical="center"/>
    </xf>
    <xf numFmtId="3" fontId="31" fillId="0" borderId="5" xfId="0" applyNumberFormat="1" applyFont="1" applyBorder="1" applyAlignment="1">
      <alignment horizontal="center" vertical="center"/>
    </xf>
    <xf numFmtId="4" fontId="31" fillId="0" borderId="5" xfId="0" applyNumberFormat="1" applyFont="1" applyBorder="1" applyAlignment="1">
      <alignment vertical="center"/>
    </xf>
    <xf numFmtId="0" fontId="32" fillId="0" borderId="0" xfId="0" applyFont="1"/>
    <xf numFmtId="0" fontId="31" fillId="0" borderId="0" xfId="0" applyFont="1" applyAlignment="1">
      <alignment vertical="center"/>
    </xf>
    <xf numFmtId="4" fontId="33" fillId="0" borderId="5" xfId="0" applyNumberFormat="1" applyFont="1" applyBorder="1" applyAlignment="1">
      <alignment vertical="center"/>
    </xf>
    <xf numFmtId="0" fontId="34" fillId="0" borderId="4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/>
    </xf>
    <xf numFmtId="4" fontId="35" fillId="0" borderId="5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0" fontId="36" fillId="0" borderId="1" xfId="0" applyFont="1" applyBorder="1" applyAlignment="1">
      <alignment horizontal="center" vertical="top"/>
    </xf>
    <xf numFmtId="0" fontId="36" fillId="0" borderId="1" xfId="0" applyFont="1" applyBorder="1" applyAlignment="1">
      <alignment horizontal="center" vertical="center"/>
    </xf>
    <xf numFmtId="4" fontId="36" fillId="0" borderId="5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 vertical="top" wrapText="1"/>
    </xf>
    <xf numFmtId="4" fontId="31" fillId="0" borderId="0" xfId="0" applyNumberFormat="1" applyFont="1" applyAlignment="1">
      <alignment vertical="center"/>
    </xf>
    <xf numFmtId="3" fontId="8" fillId="0" borderId="1" xfId="0" applyNumberFormat="1" applyFont="1" applyBorder="1" applyAlignment="1">
      <alignment horizontal="center" vertical="center" wrapText="1"/>
    </xf>
    <xf numFmtId="4" fontId="25" fillId="0" borderId="0" xfId="0" applyNumberFormat="1" applyFont="1" applyAlignment="1">
      <alignment vertical="center"/>
    </xf>
    <xf numFmtId="9" fontId="23" fillId="0" borderId="0" xfId="3" applyFont="1" applyAlignment="1">
      <alignment vertical="center"/>
    </xf>
    <xf numFmtId="9" fontId="23" fillId="0" borderId="0" xfId="0" applyNumberFormat="1" applyFont="1" applyAlignment="1">
      <alignment vertical="center"/>
    </xf>
    <xf numFmtId="3" fontId="7" fillId="0" borderId="1" xfId="0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/>
    </xf>
    <xf numFmtId="0" fontId="25" fillId="0" borderId="2" xfId="0" applyFont="1" applyBorder="1" applyAlignment="1">
      <alignment horizontal="center" vertical="top" wrapText="1"/>
    </xf>
    <xf numFmtId="0" fontId="40" fillId="0" borderId="6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4" fontId="23" fillId="0" borderId="0" xfId="0" applyNumberFormat="1" applyFont="1" applyAlignment="1">
      <alignment vertical="top"/>
    </xf>
    <xf numFmtId="4" fontId="29" fillId="0" borderId="0" xfId="0" applyNumberFormat="1" applyFont="1"/>
    <xf numFmtId="4" fontId="23" fillId="6" borderId="5" xfId="0" applyNumberFormat="1" applyFont="1" applyFill="1" applyBorder="1" applyAlignment="1">
      <alignment vertical="center"/>
    </xf>
    <xf numFmtId="4" fontId="35" fillId="6" borderId="5" xfId="0" applyNumberFormat="1" applyFont="1" applyFill="1" applyBorder="1" applyAlignment="1">
      <alignment vertical="center"/>
    </xf>
    <xf numFmtId="166" fontId="5" fillId="0" borderId="0" xfId="0" applyNumberFormat="1" applyFont="1" applyAlignment="1">
      <alignment vertical="top"/>
    </xf>
    <xf numFmtId="0" fontId="24" fillId="0" borderId="6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3" fontId="41" fillId="0" borderId="1" xfId="0" applyNumberFormat="1" applyFont="1" applyBorder="1" applyAlignment="1">
      <alignment horizontal="center" vertical="top"/>
    </xf>
    <xf numFmtId="4" fontId="41" fillId="0" borderId="1" xfId="0" applyNumberFormat="1" applyFont="1" applyBorder="1" applyAlignment="1">
      <alignment horizontal="center" vertical="top"/>
    </xf>
    <xf numFmtId="3" fontId="41" fillId="0" borderId="1" xfId="0" applyNumberFormat="1" applyFont="1" applyBorder="1" applyAlignment="1">
      <alignment horizontal="center" vertical="top" wrapText="1"/>
    </xf>
    <xf numFmtId="0" fontId="41" fillId="0" borderId="0" xfId="0" applyFont="1" applyAlignment="1">
      <alignment vertical="top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justify" vertical="top" wrapText="1"/>
    </xf>
    <xf numFmtId="4" fontId="23" fillId="0" borderId="11" xfId="0" applyNumberFormat="1" applyFont="1" applyBorder="1" applyAlignment="1">
      <alignment vertical="center"/>
    </xf>
    <xf numFmtId="4" fontId="35" fillId="0" borderId="11" xfId="0" applyNumberFormat="1" applyFont="1" applyBorder="1" applyAlignment="1">
      <alignment vertical="center"/>
    </xf>
    <xf numFmtId="3" fontId="23" fillId="0" borderId="11" xfId="0" applyNumberFormat="1" applyFont="1" applyBorder="1" applyAlignment="1">
      <alignment horizontal="center" vertical="center"/>
    </xf>
    <xf numFmtId="3" fontId="22" fillId="0" borderId="11" xfId="0" applyNumberFormat="1" applyFont="1" applyBorder="1" applyAlignment="1">
      <alignment horizontal="center" vertical="center"/>
    </xf>
    <xf numFmtId="4" fontId="22" fillId="0" borderId="11" xfId="0" applyNumberFormat="1" applyFont="1" applyBorder="1" applyAlignment="1">
      <alignment vertical="center"/>
    </xf>
    <xf numFmtId="4" fontId="36" fillId="0" borderId="11" xfId="0" applyNumberFormat="1" applyFont="1" applyBorder="1" applyAlignment="1">
      <alignment vertical="center"/>
    </xf>
    <xf numFmtId="4" fontId="24" fillId="0" borderId="11" xfId="0" applyNumberFormat="1" applyFont="1" applyBorder="1" applyAlignment="1">
      <alignment vertical="center"/>
    </xf>
    <xf numFmtId="4" fontId="30" fillId="0" borderId="12" xfId="0" applyNumberFormat="1" applyFont="1" applyBorder="1" applyAlignment="1">
      <alignment vertical="center"/>
    </xf>
    <xf numFmtId="0" fontId="24" fillId="0" borderId="1" xfId="0" applyFont="1" applyBorder="1" applyAlignment="1">
      <alignment horizontal="justify" vertical="top" wrapText="1"/>
    </xf>
    <xf numFmtId="4" fontId="33" fillId="0" borderId="1" xfId="0" applyNumberFormat="1" applyFont="1" applyBorder="1" applyAlignment="1">
      <alignment vertical="center"/>
    </xf>
    <xf numFmtId="4" fontId="34" fillId="0" borderId="1" xfId="0" applyNumberFormat="1" applyFont="1" applyBorder="1" applyAlignment="1">
      <alignment vertical="center"/>
    </xf>
    <xf numFmtId="3" fontId="24" fillId="0" borderId="1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vertical="center"/>
    </xf>
    <xf numFmtId="3" fontId="25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vertical="center"/>
    </xf>
    <xf numFmtId="3" fontId="30" fillId="0" borderId="1" xfId="0" applyNumberFormat="1" applyFont="1" applyBorder="1" applyAlignment="1">
      <alignment horizontal="center" vertical="center"/>
    </xf>
    <xf numFmtId="4" fontId="30" fillId="0" borderId="1" xfId="0" applyNumberFormat="1" applyFont="1" applyBorder="1" applyAlignment="1">
      <alignment vertical="center"/>
    </xf>
    <xf numFmtId="4" fontId="36" fillId="0" borderId="1" xfId="0" applyNumberFormat="1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4" fontId="31" fillId="0" borderId="8" xfId="0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4" fontId="24" fillId="0" borderId="1" xfId="0" applyNumberFormat="1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center" wrapText="1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30" fillId="0" borderId="1" xfId="0" applyFont="1" applyBorder="1" applyAlignment="1">
      <alignment horizontal="center" vertical="top"/>
    </xf>
    <xf numFmtId="0" fontId="31" fillId="0" borderId="14" xfId="0" applyFont="1" applyBorder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3" fillId="0" borderId="0" xfId="0" applyFont="1" applyAlignment="1">
      <alignment vertical="top"/>
    </xf>
    <xf numFmtId="0" fontId="43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4" fontId="35" fillId="0" borderId="0" xfId="0" applyNumberFormat="1" applyFont="1" applyAlignment="1">
      <alignment vertical="center"/>
    </xf>
    <xf numFmtId="3" fontId="23" fillId="0" borderId="0" xfId="0" applyNumberFormat="1" applyFont="1" applyAlignment="1">
      <alignment horizontal="center" vertical="center"/>
    </xf>
    <xf numFmtId="4" fontId="23" fillId="6" borderId="0" xfId="0" applyNumberFormat="1" applyFont="1" applyFill="1" applyAlignment="1">
      <alignment vertical="center"/>
    </xf>
    <xf numFmtId="3" fontId="22" fillId="0" borderId="0" xfId="0" applyNumberFormat="1" applyFont="1" applyAlignment="1">
      <alignment horizontal="center" vertical="center"/>
    </xf>
    <xf numFmtId="3" fontId="31" fillId="0" borderId="0" xfId="0" applyNumberFormat="1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0" fontId="36" fillId="0" borderId="2" xfId="0" applyFont="1" applyBorder="1" applyAlignment="1">
      <alignment horizontal="justify" vertical="top" wrapText="1"/>
    </xf>
    <xf numFmtId="0" fontId="44" fillId="0" borderId="2" xfId="0" applyFont="1" applyBorder="1" applyAlignment="1">
      <alignment horizontal="justify" vertical="top" wrapText="1"/>
    </xf>
    <xf numFmtId="0" fontId="11" fillId="0" borderId="0" xfId="0" applyFont="1" applyAlignment="1">
      <alignment vertical="top"/>
    </xf>
    <xf numFmtId="3" fontId="45" fillId="0" borderId="2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167" fontId="4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horizontal="right" vertical="top"/>
    </xf>
    <xf numFmtId="3" fontId="1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center" vertical="top"/>
    </xf>
    <xf numFmtId="4" fontId="8" fillId="0" borderId="0" xfId="0" applyNumberFormat="1" applyFont="1" applyAlignment="1">
      <alignment horizontal="center" vertical="top"/>
    </xf>
    <xf numFmtId="165" fontId="8" fillId="0" borderId="0" xfId="0" applyNumberFormat="1" applyFont="1" applyAlignment="1">
      <alignment horizontal="center" vertical="top"/>
    </xf>
    <xf numFmtId="3" fontId="10" fillId="0" borderId="0" xfId="0" applyNumberFormat="1" applyFont="1" applyAlignment="1">
      <alignment vertical="top"/>
    </xf>
    <xf numFmtId="164" fontId="10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top" wrapText="1"/>
    </xf>
    <xf numFmtId="3" fontId="11" fillId="0" borderId="0" xfId="0" applyNumberFormat="1" applyFont="1" applyAlignment="1">
      <alignment horizontal="center" vertical="top"/>
    </xf>
    <xf numFmtId="4" fontId="11" fillId="0" borderId="0" xfId="0" applyNumberFormat="1" applyFont="1" applyAlignment="1">
      <alignment horizontal="center" vertical="top"/>
    </xf>
    <xf numFmtId="165" fontId="1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46" fillId="0" borderId="1" xfId="0" applyFont="1" applyBorder="1" applyAlignment="1">
      <alignment vertical="top" wrapText="1"/>
    </xf>
    <xf numFmtId="0" fontId="8" fillId="0" borderId="10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4" fontId="10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4" fontId="47" fillId="0" borderId="5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4" fontId="11" fillId="0" borderId="5" xfId="0" applyNumberFormat="1" applyFont="1" applyBorder="1" applyAlignment="1">
      <alignment vertical="center"/>
    </xf>
    <xf numFmtId="4" fontId="4" fillId="6" borderId="5" xfId="0" applyNumberFormat="1" applyFont="1" applyFill="1" applyBorder="1" applyAlignment="1">
      <alignment vertical="center"/>
    </xf>
    <xf numFmtId="3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vertical="center"/>
    </xf>
    <xf numFmtId="3" fontId="46" fillId="5" borderId="5" xfId="0" applyNumberFormat="1" applyFont="1" applyFill="1" applyBorder="1" applyAlignment="1">
      <alignment horizontal="center" vertical="center"/>
    </xf>
    <xf numFmtId="4" fontId="46" fillId="5" borderId="5" xfId="0" applyNumberFormat="1" applyFont="1" applyFill="1" applyBorder="1" applyAlignment="1">
      <alignment vertical="center"/>
    </xf>
    <xf numFmtId="3" fontId="7" fillId="0" borderId="5" xfId="0" applyNumberFormat="1" applyFont="1" applyBorder="1" applyAlignment="1">
      <alignment horizontal="center" vertical="center"/>
    </xf>
    <xf numFmtId="3" fontId="48" fillId="0" borderId="5" xfId="0" applyNumberFormat="1" applyFont="1" applyBorder="1" applyAlignment="1">
      <alignment horizontal="center" vertical="center"/>
    </xf>
    <xf numFmtId="4" fontId="48" fillId="0" borderId="5" xfId="0" applyNumberFormat="1" applyFont="1" applyBorder="1" applyAlignment="1">
      <alignment vertical="center"/>
    </xf>
    <xf numFmtId="4" fontId="7" fillId="0" borderId="5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46" fillId="0" borderId="8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4" fillId="4" borderId="0" xfId="0" applyNumberFormat="1" applyFont="1" applyFill="1" applyAlignment="1">
      <alignment vertical="center"/>
    </xf>
    <xf numFmtId="4" fontId="46" fillId="0" borderId="14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49" fillId="0" borderId="5" xfId="0" applyNumberFormat="1" applyFont="1" applyBorder="1" applyAlignment="1">
      <alignment vertical="center"/>
    </xf>
    <xf numFmtId="3" fontId="49" fillId="0" borderId="5" xfId="0" applyNumberFormat="1" applyFont="1" applyBorder="1" applyAlignment="1">
      <alignment horizontal="center" vertical="center"/>
    </xf>
    <xf numFmtId="3" fontId="46" fillId="0" borderId="5" xfId="0" applyNumberFormat="1" applyFont="1" applyBorder="1" applyAlignment="1">
      <alignment horizontal="center" vertical="center"/>
    </xf>
    <xf numFmtId="4" fontId="46" fillId="0" borderId="5" xfId="0" applyNumberFormat="1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4" fontId="41" fillId="0" borderId="5" xfId="0" applyNumberFormat="1" applyFont="1" applyBorder="1" applyAlignment="1">
      <alignment vertical="center"/>
    </xf>
    <xf numFmtId="3" fontId="41" fillId="0" borderId="5" xfId="0" applyNumberFormat="1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4" fontId="41" fillId="0" borderId="14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47" fillId="0" borderId="11" xfId="0" applyNumberFormat="1" applyFont="1" applyBorder="1" applyAlignment="1">
      <alignment vertical="center"/>
    </xf>
    <xf numFmtId="3" fontId="4" fillId="0" borderId="11" xfId="0" applyNumberFormat="1" applyFont="1" applyBorder="1" applyAlignment="1">
      <alignment horizontal="center" vertical="center"/>
    </xf>
    <xf numFmtId="3" fontId="46" fillId="0" borderId="11" xfId="0" applyNumberFormat="1" applyFont="1" applyBorder="1" applyAlignment="1">
      <alignment horizontal="center" vertical="center"/>
    </xf>
    <xf numFmtId="4" fontId="46" fillId="0" borderId="11" xfId="0" applyNumberFormat="1" applyFont="1" applyBorder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" fontId="15" fillId="0" borderId="1" xfId="0" applyNumberFormat="1" applyFont="1" applyBorder="1" applyAlignment="1">
      <alignment vertical="center"/>
    </xf>
    <xf numFmtId="4" fontId="47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4" fontId="48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top" wrapText="1"/>
    </xf>
    <xf numFmtId="4" fontId="8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6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3" fontId="46" fillId="0" borderId="1" xfId="0" applyNumberFormat="1" applyFont="1" applyBorder="1" applyAlignment="1">
      <alignment horizontal="center" vertical="center"/>
    </xf>
    <xf numFmtId="4" fontId="46" fillId="0" borderId="1" xfId="0" applyNumberFormat="1" applyFont="1" applyBorder="1" applyAlignment="1">
      <alignment vertical="center"/>
    </xf>
    <xf numFmtId="4" fontId="17" fillId="0" borderId="1" xfId="0" applyNumberFormat="1" applyFont="1" applyBorder="1" applyAlignment="1">
      <alignment vertical="center"/>
    </xf>
    <xf numFmtId="4" fontId="50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horizontal="center" vertical="top"/>
    </xf>
    <xf numFmtId="0" fontId="4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top"/>
    </xf>
    <xf numFmtId="4" fontId="51" fillId="0" borderId="0" xfId="0" applyNumberFormat="1" applyFont="1" applyAlignment="1">
      <alignment horizontal="center" vertical="top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9" fontId="4" fillId="0" borderId="0" xfId="3" applyFont="1" applyAlignment="1">
      <alignment vertical="center"/>
    </xf>
    <xf numFmtId="9" fontId="4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4" fontId="46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50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/>
    </xf>
    <xf numFmtId="3" fontId="8" fillId="0" borderId="4" xfId="0" applyNumberFormat="1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right" vertical="top"/>
    </xf>
    <xf numFmtId="3" fontId="4" fillId="0" borderId="4" xfId="0" applyNumberFormat="1" applyFont="1" applyBorder="1" applyAlignment="1">
      <alignment horizontal="center"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right" vertical="top"/>
    </xf>
    <xf numFmtId="3" fontId="23" fillId="0" borderId="0" xfId="0" applyNumberFormat="1" applyFont="1" applyAlignment="1">
      <alignment vertical="top"/>
    </xf>
    <xf numFmtId="0" fontId="23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52" fillId="0" borderId="0" xfId="0" applyFont="1" applyAlignment="1">
      <alignment vertical="top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horizontal="right" vertical="top" wrapText="1"/>
    </xf>
    <xf numFmtId="3" fontId="52" fillId="0" borderId="0" xfId="0" applyNumberFormat="1" applyFont="1" applyAlignment="1">
      <alignment vertical="top" wrapText="1"/>
    </xf>
    <xf numFmtId="3" fontId="4" fillId="0" borderId="2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15" fillId="0" borderId="0" xfId="0" applyFont="1" applyAlignment="1">
      <alignment vertical="top"/>
    </xf>
    <xf numFmtId="3" fontId="15" fillId="0" borderId="0" xfId="0" applyNumberFormat="1" applyFont="1" applyAlignment="1">
      <alignment horizontal="center" vertical="top"/>
    </xf>
    <xf numFmtId="165" fontId="15" fillId="0" borderId="0" xfId="0" applyNumberFormat="1" applyFont="1" applyAlignment="1">
      <alignment horizontal="right" vertical="top"/>
    </xf>
    <xf numFmtId="0" fontId="16" fillId="0" borderId="0" xfId="0" applyFont="1" applyAlignment="1">
      <alignment vertical="top"/>
    </xf>
    <xf numFmtId="3" fontId="15" fillId="0" borderId="0" xfId="0" applyNumberFormat="1" applyFont="1" applyAlignment="1">
      <alignment vertical="top"/>
    </xf>
    <xf numFmtId="0" fontId="5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3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4" fontId="53" fillId="0" borderId="0" xfId="0" applyNumberFormat="1" applyFont="1" applyAlignment="1">
      <alignment horizontal="center" vertical="top"/>
    </xf>
    <xf numFmtId="165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/>
    </xf>
    <xf numFmtId="0" fontId="1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center" vertical="top"/>
    </xf>
    <xf numFmtId="165" fontId="7" fillId="0" borderId="0" xfId="0" applyNumberFormat="1" applyFont="1" applyAlignment="1">
      <alignment horizontal="right" vertical="top"/>
    </xf>
    <xf numFmtId="165" fontId="8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center" vertical="top"/>
    </xf>
    <xf numFmtId="0" fontId="46" fillId="0" borderId="0" xfId="0" applyFont="1" applyAlignment="1">
      <alignment horizontal="center" vertical="top" wrapText="1"/>
    </xf>
    <xf numFmtId="3" fontId="10" fillId="0" borderId="0" xfId="0" applyNumberFormat="1" applyFont="1" applyAlignment="1">
      <alignment horizontal="center" vertical="top"/>
    </xf>
    <xf numFmtId="165" fontId="10" fillId="0" borderId="0" xfId="0" applyNumberFormat="1" applyFont="1" applyAlignment="1">
      <alignment horizontal="right" vertical="top"/>
    </xf>
    <xf numFmtId="4" fontId="10" fillId="0" borderId="0" xfId="0" applyNumberFormat="1" applyFont="1" applyAlignment="1">
      <alignment horizontal="center" vertical="top"/>
    </xf>
    <xf numFmtId="4" fontId="46" fillId="0" borderId="0" xfId="0" applyNumberFormat="1" applyFont="1" applyAlignment="1">
      <alignment horizontal="center" vertical="top"/>
    </xf>
    <xf numFmtId="0" fontId="46" fillId="0" borderId="0" xfId="0" applyFont="1" applyAlignment="1">
      <alignment vertical="top"/>
    </xf>
    <xf numFmtId="165" fontId="4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right" vertical="top"/>
    </xf>
    <xf numFmtId="3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53" fillId="0" borderId="1" xfId="0" applyFont="1" applyBorder="1" applyAlignment="1">
      <alignment vertical="top" wrapText="1"/>
    </xf>
    <xf numFmtId="0" fontId="52" fillId="0" borderId="15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165" fontId="8" fillId="0" borderId="2" xfId="0" applyNumberFormat="1" applyFont="1" applyBorder="1" applyAlignment="1">
      <alignment horizontal="right" vertical="top"/>
    </xf>
    <xf numFmtId="167" fontId="5" fillId="0" borderId="0" xfId="0" applyNumberFormat="1" applyFont="1" applyAlignment="1">
      <alignment vertical="top"/>
    </xf>
    <xf numFmtId="4" fontId="8" fillId="0" borderId="0" xfId="0" applyNumberFormat="1" applyFont="1" applyAlignment="1">
      <alignment horizontal="right" vertical="top"/>
    </xf>
    <xf numFmtId="3" fontId="4" fillId="4" borderId="5" xfId="0" applyNumberFormat="1" applyFont="1" applyFill="1" applyBorder="1" applyAlignment="1">
      <alignment horizontal="center" vertical="center"/>
    </xf>
    <xf numFmtId="167" fontId="5" fillId="4" borderId="0" xfId="0" applyNumberFormat="1" applyFont="1" applyFill="1" applyAlignment="1">
      <alignment vertical="top"/>
    </xf>
    <xf numFmtId="169" fontId="11" fillId="0" borderId="0" xfId="3" applyNumberFormat="1" applyFont="1" applyAlignment="1">
      <alignment vertical="center"/>
    </xf>
    <xf numFmtId="169" fontId="11" fillId="0" borderId="0" xfId="0" applyNumberFormat="1" applyFont="1" applyAlignment="1">
      <alignment vertical="center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165" fontId="8" fillId="0" borderId="17" xfId="0" applyNumberFormat="1" applyFont="1" applyBorder="1" applyAlignment="1">
      <alignment horizontal="right" vertical="top"/>
    </xf>
    <xf numFmtId="167" fontId="8" fillId="0" borderId="1" xfId="0" applyNumberFormat="1" applyFont="1" applyBorder="1" applyAlignment="1">
      <alignment horizontal="right" vertical="top" wrapText="1"/>
    </xf>
    <xf numFmtId="167" fontId="8" fillId="0" borderId="4" xfId="0" applyNumberFormat="1" applyFont="1" applyBorder="1" applyAlignment="1">
      <alignment horizontal="right" vertical="top" wrapText="1"/>
    </xf>
    <xf numFmtId="165" fontId="8" fillId="0" borderId="1" xfId="0" applyNumberFormat="1" applyFont="1" applyBorder="1" applyAlignment="1">
      <alignment horizontal="right" vertical="top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4" fontId="16" fillId="0" borderId="4" xfId="0" applyNumberFormat="1" applyFont="1" applyBorder="1" applyAlignment="1">
      <alignment vertical="center"/>
    </xf>
    <xf numFmtId="4" fontId="47" fillId="0" borderId="4" xfId="0" applyNumberFormat="1" applyFont="1" applyBorder="1" applyAlignment="1">
      <alignment vertical="center"/>
    </xf>
    <xf numFmtId="3" fontId="8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vertical="center"/>
    </xf>
    <xf numFmtId="3" fontId="46" fillId="0" borderId="4" xfId="0" applyNumberFormat="1" applyFont="1" applyBorder="1" applyAlignment="1">
      <alignment horizontal="center" vertical="center"/>
    </xf>
    <xf numFmtId="4" fontId="46" fillId="0" borderId="4" xfId="0" applyNumberFormat="1" applyFont="1" applyBorder="1" applyAlignment="1">
      <alignment vertical="center"/>
    </xf>
    <xf numFmtId="4" fontId="17" fillId="0" borderId="4" xfId="0" applyNumberFormat="1" applyFont="1" applyBorder="1" applyAlignment="1">
      <alignment vertical="center"/>
    </xf>
    <xf numFmtId="4" fontId="50" fillId="0" borderId="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4" fontId="47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4" fontId="48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4" fillId="6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3" fontId="50" fillId="0" borderId="4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/>
    </xf>
    <xf numFmtId="4" fontId="8" fillId="0" borderId="0" xfId="0" applyNumberFormat="1" applyFont="1" applyAlignment="1">
      <alignment vertical="top"/>
    </xf>
    <xf numFmtId="168" fontId="10" fillId="0" borderId="0" xfId="0" applyNumberFormat="1" applyFont="1" applyAlignment="1">
      <alignment horizontal="right" vertical="top"/>
    </xf>
    <xf numFmtId="4" fontId="8" fillId="0" borderId="4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3" fontId="46" fillId="0" borderId="0" xfId="0" applyNumberFormat="1" applyFont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0" fontId="57" fillId="0" borderId="0" xfId="4" applyFont="1"/>
    <xf numFmtId="0" fontId="2" fillId="0" borderId="0" xfId="5" applyFont="1"/>
    <xf numFmtId="0" fontId="14" fillId="0" borderId="1" xfId="6" applyFont="1" applyBorder="1" applyAlignment="1">
      <alignment horizontal="center" vertical="top" wrapText="1"/>
    </xf>
    <xf numFmtId="0" fontId="14" fillId="0" borderId="1" xfId="6" applyFont="1" applyBorder="1" applyAlignment="1">
      <alignment horizontal="center" vertical="top"/>
    </xf>
    <xf numFmtId="0" fontId="2" fillId="0" borderId="0" xfId="5" applyFont="1" applyAlignment="1">
      <alignment vertical="top"/>
    </xf>
    <xf numFmtId="0" fontId="14" fillId="0" borderId="1" xfId="6" applyFont="1" applyBorder="1" applyAlignment="1">
      <alignment horizontal="center" vertical="center" wrapText="1"/>
    </xf>
    <xf numFmtId="0" fontId="58" fillId="0" borderId="1" xfId="6" applyFont="1" applyBorder="1" applyAlignment="1">
      <alignment horizontal="center" vertical="center"/>
    </xf>
    <xf numFmtId="0" fontId="23" fillId="0" borderId="1" xfId="6" applyFont="1" applyBorder="1" applyAlignment="1">
      <alignment horizontal="center" vertical="center" wrapText="1"/>
    </xf>
    <xf numFmtId="0" fontId="23" fillId="0" borderId="1" xfId="6" applyFont="1" applyBorder="1" applyAlignment="1">
      <alignment vertical="center" wrapText="1"/>
    </xf>
    <xf numFmtId="170" fontId="59" fillId="0" borderId="1" xfId="8" applyNumberFormat="1" applyFont="1" applyBorder="1"/>
    <xf numFmtId="43" fontId="1" fillId="0" borderId="1" xfId="8" applyFont="1" applyBorder="1"/>
    <xf numFmtId="43" fontId="22" fillId="4" borderId="1" xfId="8" applyFont="1" applyFill="1" applyBorder="1"/>
    <xf numFmtId="3" fontId="59" fillId="7" borderId="1" xfId="6" applyNumberFormat="1" applyFont="1" applyFill="1" applyBorder="1"/>
    <xf numFmtId="4" fontId="59" fillId="7" borderId="1" xfId="6" applyNumberFormat="1" applyFont="1" applyFill="1" applyBorder="1"/>
    <xf numFmtId="3" fontId="1" fillId="7" borderId="1" xfId="7" applyNumberFormat="1" applyFont="1" applyFill="1" applyBorder="1" applyAlignment="1">
      <alignment horizontal="center" vertical="center"/>
    </xf>
    <xf numFmtId="0" fontId="25" fillId="0" borderId="1" xfId="6" applyFont="1" applyBorder="1" applyAlignment="1">
      <alignment horizontal="justify" vertical="center" wrapText="1"/>
    </xf>
    <xf numFmtId="170" fontId="25" fillId="0" borderId="1" xfId="8" applyNumberFormat="1" applyFont="1" applyBorder="1"/>
    <xf numFmtId="43" fontId="25" fillId="0" borderId="1" xfId="5" applyNumberFormat="1" applyFont="1" applyBorder="1"/>
    <xf numFmtId="43" fontId="2" fillId="0" borderId="0" xfId="8" applyFont="1"/>
    <xf numFmtId="0" fontId="11" fillId="0" borderId="0" xfId="5" applyFont="1"/>
    <xf numFmtId="0" fontId="5" fillId="0" borderId="0" xfId="5" applyFont="1"/>
    <xf numFmtId="3" fontId="2" fillId="0" borderId="0" xfId="5" applyNumberFormat="1" applyFont="1"/>
    <xf numFmtId="0" fontId="8" fillId="0" borderId="0" xfId="5" applyFont="1"/>
    <xf numFmtId="3" fontId="8" fillId="0" borderId="0" xfId="5" applyNumberFormat="1" applyFont="1"/>
    <xf numFmtId="0" fontId="46" fillId="0" borderId="0" xfId="5" applyFont="1"/>
    <xf numFmtId="0" fontId="3" fillId="0" borderId="0" xfId="5" applyFont="1" applyAlignment="1">
      <alignment horizontal="center"/>
    </xf>
    <xf numFmtId="169" fontId="2" fillId="0" borderId="0" xfId="3" applyNumberFormat="1" applyFont="1"/>
    <xf numFmtId="43" fontId="1" fillId="4" borderId="1" xfId="8" applyFont="1" applyFill="1" applyBorder="1"/>
    <xf numFmtId="43" fontId="1" fillId="0" borderId="0" xfId="8" applyFont="1" applyBorder="1"/>
    <xf numFmtId="0" fontId="22" fillId="0" borderId="1" xfId="6" applyFont="1" applyBorder="1" applyAlignment="1">
      <alignment horizontal="center" vertical="center" wrapText="1"/>
    </xf>
    <xf numFmtId="170" fontId="59" fillId="0" borderId="0" xfId="8" applyNumberFormat="1" applyFont="1" applyBorder="1"/>
    <xf numFmtId="3" fontId="59" fillId="7" borderId="0" xfId="6" applyNumberFormat="1" applyFont="1" applyFill="1"/>
    <xf numFmtId="3" fontId="1" fillId="7" borderId="0" xfId="7" applyNumberFormat="1" applyFont="1" applyFill="1" applyAlignment="1">
      <alignment horizontal="center" vertical="center"/>
    </xf>
    <xf numFmtId="43" fontId="2" fillId="0" borderId="0" xfId="8" applyFont="1" applyBorder="1"/>
    <xf numFmtId="0" fontId="5" fillId="0" borderId="0" xfId="5" applyFont="1" applyAlignment="1">
      <alignment horizontal="center" vertical="center"/>
    </xf>
    <xf numFmtId="3" fontId="25" fillId="7" borderId="1" xfId="6" applyNumberFormat="1" applyFont="1" applyFill="1" applyBorder="1"/>
    <xf numFmtId="4" fontId="25" fillId="7" borderId="1" xfId="6" applyNumberFormat="1" applyFont="1" applyFill="1" applyBorder="1"/>
    <xf numFmtId="3" fontId="25" fillId="7" borderId="1" xfId="5" applyNumberFormat="1" applyFont="1" applyFill="1" applyBorder="1" applyAlignment="1">
      <alignment horizontal="center"/>
    </xf>
    <xf numFmtId="43" fontId="25" fillId="0" borderId="1" xfId="8" applyFont="1" applyBorder="1"/>
    <xf numFmtId="3" fontId="59" fillId="0" borderId="0" xfId="6" applyNumberFormat="1" applyFont="1"/>
    <xf numFmtId="3" fontId="11" fillId="0" borderId="0" xfId="5" applyNumberFormat="1" applyFont="1"/>
    <xf numFmtId="43" fontId="1" fillId="6" borderId="1" xfId="8" applyFont="1" applyFill="1" applyBorder="1"/>
    <xf numFmtId="43" fontId="37" fillId="0" borderId="1" xfId="8" applyFont="1" applyBorder="1"/>
    <xf numFmtId="4" fontId="4" fillId="0" borderId="0" xfId="0" applyNumberFormat="1" applyFont="1" applyAlignment="1">
      <alignment vertical="top"/>
    </xf>
    <xf numFmtId="169" fontId="2" fillId="0" borderId="0" xfId="5" applyNumberFormat="1" applyFont="1"/>
    <xf numFmtId="4" fontId="8" fillId="0" borderId="4" xfId="0" applyNumberFormat="1" applyFont="1" applyBorder="1" applyAlignment="1">
      <alignment horizontal="center" vertical="top"/>
    </xf>
    <xf numFmtId="3" fontId="11" fillId="6" borderId="5" xfId="0" applyNumberFormat="1" applyFont="1" applyFill="1" applyBorder="1" applyAlignment="1">
      <alignment horizontal="center" vertical="center"/>
    </xf>
    <xf numFmtId="4" fontId="11" fillId="6" borderId="5" xfId="0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top"/>
    </xf>
    <xf numFmtId="4" fontId="5" fillId="4" borderId="0" xfId="0" applyNumberFormat="1" applyFont="1" applyFill="1" applyAlignment="1">
      <alignment vertical="top"/>
    </xf>
    <xf numFmtId="3" fontId="11" fillId="0" borderId="1" xfId="0" applyNumberFormat="1" applyFont="1" applyBorder="1" applyAlignment="1">
      <alignment horizontal="center" vertical="top"/>
    </xf>
    <xf numFmtId="3" fontId="11" fillId="6" borderId="1" xfId="0" applyNumberFormat="1" applyFont="1" applyFill="1" applyBorder="1" applyAlignment="1">
      <alignment horizontal="center" vertical="top"/>
    </xf>
    <xf numFmtId="4" fontId="11" fillId="6" borderId="1" xfId="0" applyNumberFormat="1" applyFont="1" applyFill="1" applyBorder="1" applyAlignment="1">
      <alignment horizontal="center" vertical="top"/>
    </xf>
    <xf numFmtId="165" fontId="10" fillId="0" borderId="0" xfId="0" applyNumberFormat="1" applyFont="1" applyAlignment="1">
      <alignment horizontal="center" vertical="top"/>
    </xf>
    <xf numFmtId="4" fontId="8" fillId="6" borderId="1" xfId="0" applyNumberFormat="1" applyFont="1" applyFill="1" applyBorder="1" applyAlignment="1">
      <alignment horizontal="right" vertical="center"/>
    </xf>
    <xf numFmtId="4" fontId="8" fillId="6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right" vertical="top"/>
    </xf>
    <xf numFmtId="4" fontId="15" fillId="6" borderId="5" xfId="0" applyNumberFormat="1" applyFont="1" applyFill="1" applyBorder="1" applyAlignment="1">
      <alignment vertical="center"/>
    </xf>
    <xf numFmtId="3" fontId="5" fillId="6" borderId="5" xfId="0" applyNumberFormat="1" applyFont="1" applyFill="1" applyBorder="1" applyAlignment="1">
      <alignment horizontal="center" vertical="center"/>
    </xf>
    <xf numFmtId="4" fontId="5" fillId="6" borderId="5" xfId="0" applyNumberFormat="1" applyFont="1" applyFill="1" applyBorder="1" applyAlignment="1">
      <alignment vertical="center"/>
    </xf>
    <xf numFmtId="171" fontId="8" fillId="0" borderId="1" xfId="0" applyNumberFormat="1" applyFont="1" applyBorder="1" applyAlignment="1">
      <alignment horizontal="center" vertical="top" wrapText="1"/>
    </xf>
    <xf numFmtId="3" fontId="4" fillId="5" borderId="1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>
      <alignment horizontal="center" vertical="top"/>
    </xf>
    <xf numFmtId="167" fontId="11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2" fontId="1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vertical="center"/>
    </xf>
    <xf numFmtId="3" fontId="46" fillId="5" borderId="19" xfId="0" applyNumberFormat="1" applyFont="1" applyFill="1" applyBorder="1" applyAlignment="1">
      <alignment horizontal="center" vertical="center"/>
    </xf>
    <xf numFmtId="4" fontId="46" fillId="5" borderId="20" xfId="0" applyNumberFormat="1" applyFont="1" applyFill="1" applyBorder="1" applyAlignment="1">
      <alignment vertical="center"/>
    </xf>
    <xf numFmtId="3" fontId="7" fillId="0" borderId="21" xfId="0" applyNumberFormat="1" applyFont="1" applyBorder="1" applyAlignment="1">
      <alignment horizontal="center" vertical="center"/>
    </xf>
    <xf numFmtId="3" fontId="4" fillId="6" borderId="5" xfId="0" applyNumberFormat="1" applyFont="1" applyFill="1" applyBorder="1" applyAlignment="1">
      <alignment horizontal="center" vertical="center"/>
    </xf>
    <xf numFmtId="3" fontId="11" fillId="8" borderId="5" xfId="0" applyNumberFormat="1" applyFont="1" applyFill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61" fillId="0" borderId="5" xfId="0" applyNumberFormat="1" applyFont="1" applyBorder="1" applyAlignment="1">
      <alignment horizontal="center" vertical="center"/>
    </xf>
    <xf numFmtId="4" fontId="61" fillId="0" borderId="5" xfId="0" applyNumberFormat="1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3" fontId="46" fillId="0" borderId="22" xfId="0" applyNumberFormat="1" applyFont="1" applyBorder="1" applyAlignment="1">
      <alignment horizontal="center" vertical="center"/>
    </xf>
    <xf numFmtId="4" fontId="46" fillId="0" borderId="23" xfId="0" applyNumberFormat="1" applyFont="1" applyBorder="1" applyAlignment="1">
      <alignment vertical="center"/>
    </xf>
    <xf numFmtId="3" fontId="46" fillId="0" borderId="23" xfId="0" applyNumberFormat="1" applyFont="1" applyBorder="1" applyAlignment="1">
      <alignment horizontal="center" vertical="center"/>
    </xf>
    <xf numFmtId="4" fontId="46" fillId="0" borderId="24" xfId="0" applyNumberFormat="1" applyFont="1" applyBorder="1" applyAlignment="1">
      <alignment vertical="center"/>
    </xf>
    <xf numFmtId="9" fontId="8" fillId="0" borderId="0" xfId="3" applyFont="1" applyAlignment="1">
      <alignment horizontal="center" vertical="center"/>
    </xf>
    <xf numFmtId="3" fontId="51" fillId="0" borderId="0" xfId="0" applyNumberFormat="1" applyFont="1" applyAlignment="1">
      <alignment horizontal="center" vertical="center"/>
    </xf>
    <xf numFmtId="4" fontId="51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top"/>
    </xf>
    <xf numFmtId="4" fontId="62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top"/>
    </xf>
    <xf numFmtId="169" fontId="4" fillId="0" borderId="0" xfId="3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top"/>
    </xf>
    <xf numFmtId="4" fontId="4" fillId="4" borderId="5" xfId="0" applyNumberFormat="1" applyFont="1" applyFill="1" applyBorder="1" applyAlignment="1">
      <alignment vertical="center"/>
    </xf>
    <xf numFmtId="3" fontId="4" fillId="6" borderId="1" xfId="0" applyNumberFormat="1" applyFont="1" applyFill="1" applyBorder="1" applyAlignment="1">
      <alignment horizontal="center" vertical="top" wrapText="1"/>
    </xf>
    <xf numFmtId="4" fontId="4" fillId="6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165" fontId="5" fillId="0" borderId="0" xfId="0" applyNumberFormat="1" applyFont="1" applyAlignment="1">
      <alignment horizontal="center" vertical="top"/>
    </xf>
    <xf numFmtId="4" fontId="10" fillId="0" borderId="0" xfId="0" applyNumberFormat="1" applyFont="1" applyAlignment="1">
      <alignment vertical="top"/>
    </xf>
    <xf numFmtId="3" fontId="8" fillId="6" borderId="1" xfId="0" applyNumberFormat="1" applyFont="1" applyFill="1" applyBorder="1" applyAlignment="1">
      <alignment horizontal="center" vertical="center"/>
    </xf>
    <xf numFmtId="3" fontId="4" fillId="6" borderId="1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>
      <alignment horizontal="right" vertical="top"/>
    </xf>
    <xf numFmtId="4" fontId="41" fillId="6" borderId="1" xfId="0" applyNumberFormat="1" applyFont="1" applyFill="1" applyBorder="1" applyAlignment="1">
      <alignment horizontal="right" vertical="center"/>
    </xf>
    <xf numFmtId="3" fontId="41" fillId="6" borderId="1" xfId="0" applyNumberFormat="1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right" vertical="top"/>
    </xf>
    <xf numFmtId="3" fontId="8" fillId="5" borderId="1" xfId="0" applyNumberFormat="1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0" fontId="23" fillId="0" borderId="0" xfId="0" applyFont="1"/>
    <xf numFmtId="0" fontId="23" fillId="0" borderId="0" xfId="0" applyFont="1" applyAlignment="1">
      <alignment horizontal="right" vertical="center"/>
    </xf>
    <xf numFmtId="0" fontId="52" fillId="0" borderId="0" xfId="0" applyFont="1" applyAlignment="1">
      <alignment vertical="center"/>
    </xf>
    <xf numFmtId="3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4" fillId="0" borderId="0" xfId="0" applyFont="1" applyAlignment="1">
      <alignment horizontal="left" vertical="top" wrapText="1"/>
    </xf>
    <xf numFmtId="0" fontId="20" fillId="0" borderId="0" xfId="1" applyFont="1" applyAlignment="1">
      <alignment vertical="top"/>
    </xf>
    <xf numFmtId="0" fontId="20" fillId="0" borderId="0" xfId="1" applyFont="1" applyAlignment="1">
      <alignment horizontal="right" vertical="top"/>
    </xf>
    <xf numFmtId="0" fontId="20" fillId="0" borderId="0" xfId="0" applyFont="1" applyAlignment="1">
      <alignment horizontal="right" vertic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0" fontId="23" fillId="0" borderId="0" xfId="9" applyFont="1" applyAlignment="1">
      <alignment horizontal="right" vertical="center"/>
    </xf>
    <xf numFmtId="0" fontId="30" fillId="5" borderId="10" xfId="0" applyFont="1" applyFill="1" applyBorder="1" applyAlignment="1">
      <alignment horizontal="center" vertical="top"/>
    </xf>
    <xf numFmtId="0" fontId="30" fillId="5" borderId="13" xfId="0" applyFont="1" applyFill="1" applyBorder="1" applyAlignment="1">
      <alignment horizontal="center" vertical="top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top" wrapText="1"/>
    </xf>
    <xf numFmtId="0" fontId="23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top" wrapText="1"/>
    </xf>
    <xf numFmtId="3" fontId="8" fillId="0" borderId="3" xfId="0" applyNumberFormat="1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60" fillId="0" borderId="2" xfId="0" applyFont="1" applyBorder="1" applyAlignment="1">
      <alignment horizontal="center" vertical="top" wrapText="1"/>
    </xf>
    <xf numFmtId="0" fontId="60" fillId="0" borderId="3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0" fillId="5" borderId="10" xfId="0" applyFont="1" applyFill="1" applyBorder="1" applyAlignment="1">
      <alignment horizontal="center" vertical="top"/>
    </xf>
    <xf numFmtId="0" fontId="10" fillId="5" borderId="13" xfId="0" applyFont="1" applyFill="1" applyBorder="1" applyAlignment="1">
      <alignment horizontal="center" vertical="top"/>
    </xf>
    <xf numFmtId="0" fontId="10" fillId="5" borderId="2" xfId="0" applyFont="1" applyFill="1" applyBorder="1" applyAlignment="1">
      <alignment horizontal="center" vertical="top"/>
    </xf>
    <xf numFmtId="0" fontId="10" fillId="5" borderId="3" xfId="0" applyFont="1" applyFill="1" applyBorder="1" applyAlignment="1">
      <alignment horizontal="center" vertical="top"/>
    </xf>
    <xf numFmtId="0" fontId="7" fillId="0" borderId="15" xfId="0" applyFont="1" applyBorder="1" applyAlignment="1">
      <alignment horizontal="center" vertical="top"/>
    </xf>
    <xf numFmtId="0" fontId="7" fillId="0" borderId="16" xfId="0" applyFont="1" applyBorder="1" applyAlignment="1">
      <alignment horizontal="center" vertical="top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9" fontId="4" fillId="0" borderId="0" xfId="3" applyFont="1" applyAlignment="1">
      <alignment horizontal="center" vertical="center"/>
    </xf>
    <xf numFmtId="0" fontId="3" fillId="0" borderId="0" xfId="5" applyFont="1" applyAlignment="1">
      <alignment horizontal="center"/>
    </xf>
    <xf numFmtId="0" fontId="54" fillId="0" borderId="1" xfId="0" applyFont="1" applyBorder="1" applyAlignment="1">
      <alignment horizontal="center" vertical="top" wrapText="1"/>
    </xf>
    <xf numFmtId="0" fontId="55" fillId="0" borderId="2" xfId="0" applyFont="1" applyBorder="1" applyAlignment="1">
      <alignment horizontal="center" vertical="top" wrapText="1"/>
    </xf>
    <xf numFmtId="0" fontId="55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 vertical="top"/>
    </xf>
    <xf numFmtId="3" fontId="45" fillId="0" borderId="2" xfId="0" applyNumberFormat="1" applyFont="1" applyBorder="1" applyAlignment="1">
      <alignment horizontal="center" vertical="top" wrapText="1"/>
    </xf>
    <xf numFmtId="3" fontId="45" fillId="0" borderId="3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3" fontId="13" fillId="0" borderId="2" xfId="0" applyNumberFormat="1" applyFont="1" applyBorder="1" applyAlignment="1">
      <alignment horizontal="center" vertical="top" wrapText="1"/>
    </xf>
    <xf numFmtId="3" fontId="13" fillId="0" borderId="3" xfId="0" applyNumberFormat="1" applyFont="1" applyBorder="1" applyAlignment="1">
      <alignment horizontal="center" vertical="top" wrapText="1"/>
    </xf>
    <xf numFmtId="3" fontId="45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</cellXfs>
  <cellStyles count="10">
    <cellStyle name="Обычный" xfId="0" builtinId="0"/>
    <cellStyle name="Обычный 2" xfId="5" xr:uid="{809693D3-1EC9-40AE-AA81-79EB059B269F}"/>
    <cellStyle name="Обычный 2 3" xfId="6" xr:uid="{267C2ABB-F79A-4DE3-8874-9D8BE3825E72}"/>
    <cellStyle name="Обычный 2 3 2" xfId="7" xr:uid="{D71249D0-1F79-4B72-826B-9C657475B11B}"/>
    <cellStyle name="Обычный 3" xfId="2" xr:uid="{00000000-0005-0000-0000-000001000000}"/>
    <cellStyle name="Обычный 3 2" xfId="9" xr:uid="{6B9BCDF0-AC3E-4365-B1CF-6EEAD914E99C}"/>
    <cellStyle name="Обычный 4" xfId="1" xr:uid="{00000000-0005-0000-0000-000002000000}"/>
    <cellStyle name="Обычный 5 2" xfId="4" xr:uid="{73901B75-33DF-476E-B700-E34CD0A3849B}"/>
    <cellStyle name="Процентный" xfId="3" builtinId="5"/>
    <cellStyle name="Финансовый 5" xfId="8" xr:uid="{89E2B17F-24B2-4860-8E8E-EE008CA073D1}"/>
  </cellStyles>
  <dxfs count="5">
    <dxf>
      <fill>
        <patternFill patternType="solid">
          <fgColor rgb="FFC00000"/>
          <bgColor rgb="FFFFFFFF"/>
        </patternFill>
      </fill>
    </dxf>
    <dxf>
      <font>
        <color rgb="FFC00000"/>
      </font>
    </dxf>
    <dxf>
      <fill>
        <patternFill patternType="solid">
          <fgColor rgb="FFC00000"/>
          <bgColor rgb="FFFFFFFF"/>
        </patternFill>
      </fill>
    </dxf>
    <dxf>
      <font>
        <color rgb="FFC0000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4FE2E-204C-4615-958D-F0C672677323}">
  <sheetPr>
    <tabColor theme="4" tint="0.59999389629810485"/>
  </sheetPr>
  <dimension ref="A1:AR94"/>
  <sheetViews>
    <sheetView zoomScale="87" zoomScaleNormal="87" workbookViewId="0">
      <pane xSplit="3" ySplit="3" topLeftCell="AC76" activePane="bottomRight" state="frozen"/>
      <selection pane="topRight" activeCell="D1" sqref="D1"/>
      <selection pane="bottomLeft" activeCell="A4" sqref="A4"/>
      <selection pane="bottomRight" activeCell="AC105" sqref="AC105"/>
    </sheetView>
  </sheetViews>
  <sheetFormatPr defaultColWidth="9.140625" defaultRowHeight="15.75" x14ac:dyDescent="0.25"/>
  <cols>
    <col min="1" max="1" width="4.140625" style="105" customWidth="1"/>
    <col min="2" max="2" width="8.5703125" style="105" customWidth="1"/>
    <col min="3" max="3" width="42.42578125" style="118" customWidth="1"/>
    <col min="4" max="4" width="22.28515625" style="118" customWidth="1"/>
    <col min="5" max="5" width="19.7109375" style="136" customWidth="1"/>
    <col min="6" max="6" width="13.7109375" style="105" customWidth="1"/>
    <col min="7" max="7" width="19.7109375" style="105" customWidth="1"/>
    <col min="8" max="8" width="13.7109375" style="105" customWidth="1"/>
    <col min="9" max="9" width="19.7109375" style="105" customWidth="1"/>
    <col min="10" max="10" width="13.7109375" style="105" customWidth="1"/>
    <col min="11" max="11" width="19.7109375" style="105" customWidth="1"/>
    <col min="12" max="12" width="13.7109375" style="105" customWidth="1"/>
    <col min="13" max="13" width="19.7109375" style="105" customWidth="1"/>
    <col min="14" max="14" width="14" style="103" customWidth="1"/>
    <col min="15" max="15" width="19.7109375" style="103" customWidth="1"/>
    <col min="16" max="16" width="13.7109375" style="105" customWidth="1"/>
    <col min="17" max="17" width="19.7109375" style="105" customWidth="1"/>
    <col min="18" max="18" width="21.140625" style="105" customWidth="1"/>
    <col min="19" max="19" width="13.7109375" style="105" customWidth="1"/>
    <col min="20" max="20" width="19.7109375" style="105" customWidth="1"/>
    <col min="21" max="21" width="13.7109375" style="103" customWidth="1"/>
    <col min="22" max="22" width="19.7109375" style="103" customWidth="1"/>
    <col min="23" max="23" width="11" style="103" customWidth="1"/>
    <col min="24" max="24" width="15.7109375" style="103" customWidth="1"/>
    <col min="25" max="25" width="13.7109375" style="103" customWidth="1"/>
    <col min="26" max="26" width="19.7109375" style="103" customWidth="1"/>
    <col min="27" max="27" width="13.7109375" style="103" customWidth="1"/>
    <col min="28" max="28" width="19.7109375" style="103" customWidth="1"/>
    <col min="29" max="29" width="13.140625" style="130" customWidth="1"/>
    <col min="30" max="30" width="17.7109375" style="131" customWidth="1"/>
    <col min="31" max="31" width="9.140625" style="131"/>
    <col min="32" max="32" width="17" style="131" customWidth="1"/>
    <col min="33" max="33" width="9.140625" style="131"/>
    <col min="34" max="34" width="17.5703125" style="131" customWidth="1"/>
    <col min="35" max="35" width="18" style="140" customWidth="1"/>
    <col min="36" max="36" width="19.7109375" style="126" customWidth="1"/>
    <col min="37" max="37" width="19.28515625" style="131" customWidth="1"/>
    <col min="38" max="38" width="9.140625" style="105"/>
    <col min="39" max="39" width="19.7109375" style="194" customWidth="1"/>
    <col min="40" max="40" width="23.42578125" style="105" customWidth="1"/>
    <col min="41" max="41" width="20" style="131" customWidth="1"/>
    <col min="42" max="42" width="9.140625" style="105"/>
    <col min="43" max="43" width="17.140625" style="105" customWidth="1"/>
    <col min="44" max="44" width="14.5703125" style="105" customWidth="1"/>
    <col min="45" max="16384" width="9.140625" style="105"/>
  </cols>
  <sheetData>
    <row r="1" spans="1:44" s="118" customFormat="1" ht="39.75" customHeight="1" x14ac:dyDescent="0.25">
      <c r="A1" s="585" t="s">
        <v>4</v>
      </c>
      <c r="B1" s="585" t="s">
        <v>163</v>
      </c>
      <c r="C1" s="585" t="s">
        <v>162</v>
      </c>
      <c r="D1" s="186" t="s">
        <v>164</v>
      </c>
      <c r="E1" s="133" t="s">
        <v>154</v>
      </c>
      <c r="F1" s="583" t="s">
        <v>161</v>
      </c>
      <c r="G1" s="584"/>
      <c r="H1" s="583" t="s">
        <v>157</v>
      </c>
      <c r="I1" s="584"/>
      <c r="J1" s="583" t="s">
        <v>156</v>
      </c>
      <c r="K1" s="584"/>
      <c r="L1" s="583" t="s">
        <v>155</v>
      </c>
      <c r="M1" s="584"/>
      <c r="N1" s="581" t="s">
        <v>171</v>
      </c>
      <c r="O1" s="582"/>
      <c r="P1" s="581" t="s">
        <v>160</v>
      </c>
      <c r="Q1" s="582"/>
      <c r="R1" s="151" t="s">
        <v>159</v>
      </c>
      <c r="S1" s="579" t="s">
        <v>158</v>
      </c>
      <c r="T1" s="580"/>
      <c r="U1" s="581" t="s">
        <v>168</v>
      </c>
      <c r="V1" s="582"/>
      <c r="W1" s="579" t="s">
        <v>153</v>
      </c>
      <c r="X1" s="580"/>
      <c r="Y1" s="581" t="s">
        <v>152</v>
      </c>
      <c r="Z1" s="582"/>
      <c r="AA1" s="579" t="s">
        <v>151</v>
      </c>
      <c r="AB1" s="580"/>
      <c r="AC1" s="577" t="s">
        <v>150</v>
      </c>
      <c r="AD1" s="578"/>
      <c r="AE1" s="577" t="s">
        <v>149</v>
      </c>
      <c r="AF1" s="578"/>
      <c r="AG1" s="577" t="s">
        <v>148</v>
      </c>
      <c r="AH1" s="578"/>
      <c r="AI1" s="137" t="s">
        <v>165</v>
      </c>
      <c r="AJ1" s="117" t="s">
        <v>75</v>
      </c>
      <c r="AK1" s="143" t="s">
        <v>166</v>
      </c>
      <c r="AM1" s="190" t="s">
        <v>172</v>
      </c>
      <c r="AN1" s="118" t="s">
        <v>178</v>
      </c>
      <c r="AO1" s="195" t="s">
        <v>170</v>
      </c>
    </row>
    <row r="2" spans="1:44" ht="41.45" customHeight="1" x14ac:dyDescent="0.25">
      <c r="A2" s="586"/>
      <c r="B2" s="586"/>
      <c r="C2" s="586"/>
      <c r="D2" s="119" t="s">
        <v>147</v>
      </c>
      <c r="E2" s="134" t="s">
        <v>147</v>
      </c>
      <c r="F2" s="119" t="s">
        <v>12</v>
      </c>
      <c r="G2" s="119" t="s">
        <v>147</v>
      </c>
      <c r="H2" s="119" t="s">
        <v>12</v>
      </c>
      <c r="I2" s="119" t="s">
        <v>147</v>
      </c>
      <c r="J2" s="119" t="s">
        <v>12</v>
      </c>
      <c r="K2" s="119" t="s">
        <v>147</v>
      </c>
      <c r="L2" s="119" t="s">
        <v>12</v>
      </c>
      <c r="M2" s="119" t="s">
        <v>147</v>
      </c>
      <c r="N2" s="116" t="s">
        <v>12</v>
      </c>
      <c r="O2" s="116" t="s">
        <v>147</v>
      </c>
      <c r="P2" s="119" t="s">
        <v>12</v>
      </c>
      <c r="Q2" s="119" t="s">
        <v>147</v>
      </c>
      <c r="R2" s="119" t="s">
        <v>147</v>
      </c>
      <c r="S2" s="119" t="s">
        <v>12</v>
      </c>
      <c r="T2" s="119" t="s">
        <v>147</v>
      </c>
      <c r="U2" s="116" t="s">
        <v>12</v>
      </c>
      <c r="V2" s="116" t="s">
        <v>147</v>
      </c>
      <c r="W2" s="116" t="s">
        <v>12</v>
      </c>
      <c r="X2" s="116" t="s">
        <v>147</v>
      </c>
      <c r="Y2" s="116" t="s">
        <v>12</v>
      </c>
      <c r="Z2" s="116" t="s">
        <v>147</v>
      </c>
      <c r="AA2" s="116" t="s">
        <v>12</v>
      </c>
      <c r="AB2" s="116" t="s">
        <v>147</v>
      </c>
      <c r="AC2" s="127" t="s">
        <v>12</v>
      </c>
      <c r="AD2" s="127" t="s">
        <v>147</v>
      </c>
      <c r="AE2" s="127" t="s">
        <v>12</v>
      </c>
      <c r="AF2" s="127" t="s">
        <v>147</v>
      </c>
      <c r="AG2" s="127" t="s">
        <v>12</v>
      </c>
      <c r="AH2" s="127" t="s">
        <v>147</v>
      </c>
      <c r="AI2" s="138" t="s">
        <v>147</v>
      </c>
      <c r="AJ2" s="119" t="s">
        <v>147</v>
      </c>
      <c r="AK2" s="127" t="s">
        <v>147</v>
      </c>
      <c r="AM2" s="119" t="s">
        <v>147</v>
      </c>
      <c r="AO2" s="127" t="s">
        <v>147</v>
      </c>
    </row>
    <row r="3" spans="1:44" ht="18.75" customHeight="1" x14ac:dyDescent="0.25">
      <c r="A3" s="159"/>
      <c r="B3" s="141">
        <v>1</v>
      </c>
      <c r="C3" s="142">
        <v>2</v>
      </c>
      <c r="D3" s="141">
        <v>3</v>
      </c>
      <c r="E3" s="142">
        <v>4</v>
      </c>
      <c r="F3" s="141">
        <v>5</v>
      </c>
      <c r="G3" s="142">
        <v>6</v>
      </c>
      <c r="H3" s="141">
        <v>7</v>
      </c>
      <c r="I3" s="142">
        <v>8</v>
      </c>
      <c r="J3" s="141">
        <v>9</v>
      </c>
      <c r="K3" s="142">
        <v>10</v>
      </c>
      <c r="L3" s="141">
        <v>11</v>
      </c>
      <c r="M3" s="142">
        <v>12</v>
      </c>
      <c r="N3" s="152">
        <v>13</v>
      </c>
      <c r="O3" s="153">
        <v>14</v>
      </c>
      <c r="P3" s="141">
        <v>15</v>
      </c>
      <c r="Q3" s="142">
        <v>16</v>
      </c>
      <c r="R3" s="141">
        <v>17</v>
      </c>
      <c r="S3" s="142">
        <v>18</v>
      </c>
      <c r="T3" s="141">
        <v>19</v>
      </c>
      <c r="U3" s="142">
        <v>20</v>
      </c>
      <c r="V3" s="141">
        <v>21</v>
      </c>
      <c r="W3" s="142">
        <v>22</v>
      </c>
      <c r="X3" s="141">
        <v>23</v>
      </c>
      <c r="Y3" s="142">
        <v>24</v>
      </c>
      <c r="Z3" s="141">
        <v>25</v>
      </c>
      <c r="AA3" s="142">
        <v>26</v>
      </c>
      <c r="AB3" s="141">
        <v>27</v>
      </c>
      <c r="AC3" s="142">
        <v>28</v>
      </c>
      <c r="AD3" s="141">
        <v>29</v>
      </c>
      <c r="AE3" s="142">
        <v>30</v>
      </c>
      <c r="AF3" s="141">
        <v>31</v>
      </c>
      <c r="AG3" s="142">
        <v>32</v>
      </c>
      <c r="AH3" s="141">
        <v>33</v>
      </c>
      <c r="AI3" s="142">
        <v>34</v>
      </c>
      <c r="AJ3" s="141">
        <v>35</v>
      </c>
      <c r="AK3" s="187">
        <v>36</v>
      </c>
      <c r="AM3" s="191">
        <v>38</v>
      </c>
      <c r="AN3" s="189"/>
      <c r="AO3" s="196">
        <v>40</v>
      </c>
    </row>
    <row r="4" spans="1:44" ht="17.25" customHeight="1" x14ac:dyDescent="0.25">
      <c r="A4" s="107">
        <v>1</v>
      </c>
      <c r="B4" s="111">
        <v>390930</v>
      </c>
      <c r="C4" s="110" t="s">
        <v>90</v>
      </c>
      <c r="D4" s="121"/>
      <c r="E4" s="135"/>
      <c r="F4" s="120"/>
      <c r="G4" s="121"/>
      <c r="H4" s="120"/>
      <c r="I4" s="121"/>
      <c r="J4" s="120"/>
      <c r="K4" s="121"/>
      <c r="L4" s="120"/>
      <c r="M4" s="121"/>
      <c r="N4" s="109"/>
      <c r="O4" s="108"/>
      <c r="P4" s="120"/>
      <c r="Q4" s="121"/>
      <c r="R4" s="121"/>
      <c r="S4" s="120"/>
      <c r="T4" s="121"/>
      <c r="U4" s="109">
        <v>20000</v>
      </c>
      <c r="V4" s="108">
        <v>5739800</v>
      </c>
      <c r="W4" s="109"/>
      <c r="X4" s="108"/>
      <c r="Y4" s="109"/>
      <c r="Z4" s="108"/>
      <c r="AA4" s="109"/>
      <c r="AB4" s="108">
        <v>0</v>
      </c>
      <c r="AC4" s="128">
        <v>0</v>
      </c>
      <c r="AD4" s="129">
        <v>0</v>
      </c>
      <c r="AE4" s="128">
        <v>0</v>
      </c>
      <c r="AF4" s="129">
        <v>0</v>
      </c>
      <c r="AG4" s="128">
        <v>0</v>
      </c>
      <c r="AH4" s="129">
        <v>0</v>
      </c>
      <c r="AI4" s="139">
        <f>Q4+R4+T4+V4+X4+Z4+AB4+AD4+AF4+AH4</f>
        <v>5739800</v>
      </c>
      <c r="AJ4" s="106">
        <f>D4+E4+AI4</f>
        <v>5739800</v>
      </c>
      <c r="AK4" s="188">
        <f>AI4-R4</f>
        <v>5739800</v>
      </c>
      <c r="AM4" s="192">
        <f>AJ4-AH4-AF4-AD4</f>
        <v>5739800</v>
      </c>
      <c r="AN4" s="211">
        <f>VLOOKUP(B4,'АПП БАЗ (0)'!$B$8:$Y$72,14,FALSE)*1000</f>
        <v>0</v>
      </c>
      <c r="AO4" s="197">
        <v>0</v>
      </c>
      <c r="AQ4" s="124">
        <f t="shared" ref="AQ4:AQ67" si="0">AN4-AM4</f>
        <v>-5739800</v>
      </c>
    </row>
    <row r="5" spans="1:44" ht="17.25" customHeight="1" x14ac:dyDescent="0.25">
      <c r="A5" s="107">
        <v>2</v>
      </c>
      <c r="B5" s="111">
        <v>390800</v>
      </c>
      <c r="C5" s="110" t="s">
        <v>89</v>
      </c>
      <c r="D5" s="123"/>
      <c r="E5" s="135"/>
      <c r="F5" s="122"/>
      <c r="G5" s="123"/>
      <c r="H5" s="120"/>
      <c r="I5" s="121"/>
      <c r="J5" s="120"/>
      <c r="K5" s="121"/>
      <c r="L5" s="120"/>
      <c r="M5" s="121"/>
      <c r="N5" s="109"/>
      <c r="O5" s="108"/>
      <c r="P5" s="120">
        <v>1300</v>
      </c>
      <c r="Q5" s="121">
        <v>1607424</v>
      </c>
      <c r="R5" s="156">
        <v>0</v>
      </c>
      <c r="S5" s="120"/>
      <c r="T5" s="121"/>
      <c r="U5" s="109">
        <v>57800</v>
      </c>
      <c r="V5" s="108">
        <v>16588022</v>
      </c>
      <c r="W5" s="109"/>
      <c r="X5" s="108"/>
      <c r="Y5" s="109"/>
      <c r="Z5" s="108"/>
      <c r="AA5" s="109">
        <v>22000</v>
      </c>
      <c r="AB5" s="108">
        <v>24192080</v>
      </c>
      <c r="AC5" s="128">
        <v>0</v>
      </c>
      <c r="AD5" s="129">
        <v>0</v>
      </c>
      <c r="AE5" s="128">
        <v>0</v>
      </c>
      <c r="AF5" s="129">
        <v>0</v>
      </c>
      <c r="AG5" s="128">
        <v>0</v>
      </c>
      <c r="AH5" s="129">
        <v>0</v>
      </c>
      <c r="AI5" s="139">
        <f>Q5+R5+T5+V5+X5+Z5+AB5+AD5+AF5+AH5</f>
        <v>42387526</v>
      </c>
      <c r="AJ5" s="106">
        <f t="shared" ref="AJ5:AJ68" si="1">D5+E5+AI5</f>
        <v>42387526</v>
      </c>
      <c r="AK5" s="188">
        <f t="shared" ref="AK5:AK68" si="2">AI5-R5</f>
        <v>42387526</v>
      </c>
      <c r="AM5" s="192">
        <f t="shared" ref="AM5:AM68" si="3">AJ5-AH5-AF5-AD5</f>
        <v>42387526</v>
      </c>
      <c r="AN5" s="211">
        <f>VLOOKUP(B5,'АПП БАЗ (0)'!$B$8:$Y$72,14,FALSE)*1000</f>
        <v>0</v>
      </c>
      <c r="AO5" s="197">
        <v>0</v>
      </c>
      <c r="AQ5" s="124">
        <f t="shared" si="0"/>
        <v>-42387526</v>
      </c>
    </row>
    <row r="6" spans="1:44" ht="17.25" customHeight="1" x14ac:dyDescent="0.25">
      <c r="A6" s="107">
        <v>3</v>
      </c>
      <c r="B6" s="111">
        <v>391100</v>
      </c>
      <c r="C6" s="110" t="s">
        <v>103</v>
      </c>
      <c r="D6" s="121"/>
      <c r="E6" s="135"/>
      <c r="F6" s="120"/>
      <c r="G6" s="121"/>
      <c r="H6" s="120"/>
      <c r="I6" s="121"/>
      <c r="J6" s="120"/>
      <c r="K6" s="121"/>
      <c r="L6" s="120"/>
      <c r="M6" s="121"/>
      <c r="N6" s="109"/>
      <c r="O6" s="108"/>
      <c r="P6" s="120"/>
      <c r="Q6" s="121"/>
      <c r="R6" s="156">
        <v>66040000</v>
      </c>
      <c r="S6" s="120"/>
      <c r="T6" s="121"/>
      <c r="U6" s="109">
        <v>700</v>
      </c>
      <c r="V6" s="108">
        <v>200893</v>
      </c>
      <c r="W6" s="109"/>
      <c r="X6" s="108"/>
      <c r="Y6" s="109"/>
      <c r="Z6" s="108"/>
      <c r="AA6" s="109">
        <v>0</v>
      </c>
      <c r="AB6" s="108">
        <v>0</v>
      </c>
      <c r="AC6" s="128">
        <v>0</v>
      </c>
      <c r="AD6" s="129">
        <v>0</v>
      </c>
      <c r="AE6" s="128">
        <v>0</v>
      </c>
      <c r="AF6" s="129">
        <v>0</v>
      </c>
      <c r="AG6" s="128">
        <v>0</v>
      </c>
      <c r="AH6" s="129">
        <v>0</v>
      </c>
      <c r="AI6" s="139">
        <f t="shared" ref="AI6:AI69" si="4">Q6+R6+T6+V6+X6+Z6+AB6+AD6+AF6+AH6</f>
        <v>66240893</v>
      </c>
      <c r="AJ6" s="106">
        <f t="shared" si="1"/>
        <v>66240893</v>
      </c>
      <c r="AK6" s="188">
        <f t="shared" si="2"/>
        <v>200893</v>
      </c>
      <c r="AM6" s="192">
        <f t="shared" si="3"/>
        <v>66240893</v>
      </c>
      <c r="AN6" s="211">
        <f>VLOOKUP(B6,'АПП БАЗ (0)'!$B$8:$Y$72,14,FALSE)*1000</f>
        <v>0</v>
      </c>
      <c r="AO6" s="197">
        <v>0</v>
      </c>
      <c r="AQ6" s="124">
        <f t="shared" si="0"/>
        <v>-66240893</v>
      </c>
    </row>
    <row r="7" spans="1:44" ht="17.25" customHeight="1" x14ac:dyDescent="0.25">
      <c r="A7" s="107">
        <v>4</v>
      </c>
      <c r="B7" s="111">
        <v>390470</v>
      </c>
      <c r="C7" s="110" t="s">
        <v>88</v>
      </c>
      <c r="D7" s="121"/>
      <c r="E7" s="135"/>
      <c r="F7" s="120"/>
      <c r="G7" s="121"/>
      <c r="H7" s="120"/>
      <c r="I7" s="121"/>
      <c r="J7" s="120"/>
      <c r="K7" s="121"/>
      <c r="L7" s="120"/>
      <c r="M7" s="121"/>
      <c r="N7" s="109"/>
      <c r="O7" s="108"/>
      <c r="P7" s="120">
        <v>10200</v>
      </c>
      <c r="Q7" s="121">
        <v>12612096</v>
      </c>
      <c r="R7" s="156">
        <v>0</v>
      </c>
      <c r="S7" s="120"/>
      <c r="T7" s="121"/>
      <c r="U7" s="109">
        <v>145000</v>
      </c>
      <c r="V7" s="108">
        <v>41613550</v>
      </c>
      <c r="W7" s="109"/>
      <c r="X7" s="108"/>
      <c r="Y7" s="109"/>
      <c r="Z7" s="108"/>
      <c r="AA7" s="109">
        <v>0</v>
      </c>
      <c r="AB7" s="108">
        <v>0</v>
      </c>
      <c r="AC7" s="128">
        <v>0</v>
      </c>
      <c r="AD7" s="129">
        <v>0</v>
      </c>
      <c r="AE7" s="128">
        <v>0</v>
      </c>
      <c r="AF7" s="129">
        <v>0</v>
      </c>
      <c r="AG7" s="128">
        <v>0</v>
      </c>
      <c r="AH7" s="129">
        <v>0</v>
      </c>
      <c r="AI7" s="139">
        <f>Q7+R7+T7+V7+X7+Z7+AB7+AD7+AF7+AH7</f>
        <v>54225646</v>
      </c>
      <c r="AJ7" s="106">
        <f t="shared" si="1"/>
        <v>54225646</v>
      </c>
      <c r="AK7" s="188">
        <f t="shared" si="2"/>
        <v>54225646</v>
      </c>
      <c r="AM7" s="192">
        <f>AJ7-AH7-AF7-AD7</f>
        <v>54225646</v>
      </c>
      <c r="AN7" s="211">
        <f>VLOOKUP(B7,'АПП БАЗ (0)'!$B$8:$Y$72,14,FALSE)*1000</f>
        <v>0</v>
      </c>
      <c r="AO7" s="197">
        <v>0</v>
      </c>
      <c r="AQ7" s="124">
        <f t="shared" si="0"/>
        <v>-54225646</v>
      </c>
    </row>
    <row r="8" spans="1:44" ht="17.25" customHeight="1" x14ac:dyDescent="0.25">
      <c r="A8" s="107">
        <v>5</v>
      </c>
      <c r="B8" s="111">
        <v>390762</v>
      </c>
      <c r="C8" s="110" t="s">
        <v>111</v>
      </c>
      <c r="D8" s="121"/>
      <c r="E8" s="135"/>
      <c r="F8" s="120"/>
      <c r="G8" s="121"/>
      <c r="H8" s="120"/>
      <c r="I8" s="121"/>
      <c r="J8" s="120"/>
      <c r="K8" s="121"/>
      <c r="L8" s="120"/>
      <c r="M8" s="121"/>
      <c r="N8" s="109">
        <v>801</v>
      </c>
      <c r="O8" s="108">
        <v>14769160</v>
      </c>
      <c r="P8" s="128">
        <f>N8</f>
        <v>801</v>
      </c>
      <c r="Q8" s="129">
        <f>O8</f>
        <v>14769160</v>
      </c>
      <c r="R8" s="121"/>
      <c r="S8" s="120"/>
      <c r="T8" s="121"/>
      <c r="U8" s="109">
        <v>700</v>
      </c>
      <c r="V8" s="108">
        <v>832552</v>
      </c>
      <c r="W8" s="109"/>
      <c r="X8" s="108"/>
      <c r="Y8" s="109"/>
      <c r="Z8" s="108"/>
      <c r="AA8" s="109">
        <v>0</v>
      </c>
      <c r="AB8" s="108">
        <v>0</v>
      </c>
      <c r="AC8" s="128">
        <v>0</v>
      </c>
      <c r="AD8" s="129">
        <v>0</v>
      </c>
      <c r="AE8" s="128">
        <v>0</v>
      </c>
      <c r="AF8" s="129">
        <v>0</v>
      </c>
      <c r="AG8" s="128">
        <v>0</v>
      </c>
      <c r="AH8" s="129">
        <v>0</v>
      </c>
      <c r="AI8" s="139">
        <f t="shared" si="4"/>
        <v>15601712</v>
      </c>
      <c r="AJ8" s="106">
        <f t="shared" si="1"/>
        <v>15601712</v>
      </c>
      <c r="AK8" s="188">
        <f t="shared" si="2"/>
        <v>15601712</v>
      </c>
      <c r="AM8" s="192">
        <f t="shared" si="3"/>
        <v>15601712</v>
      </c>
      <c r="AN8" s="211">
        <f>VLOOKUP(B8,'АПП БАЗ (0)'!$B$8:$Y$72,14,FALSE)*1000</f>
        <v>0</v>
      </c>
      <c r="AO8" s="197">
        <v>0</v>
      </c>
      <c r="AQ8" s="124">
        <f t="shared" si="0"/>
        <v>-15601712</v>
      </c>
    </row>
    <row r="9" spans="1:44" ht="17.25" customHeight="1" x14ac:dyDescent="0.25">
      <c r="A9" s="107">
        <v>6</v>
      </c>
      <c r="B9" s="111">
        <v>390050</v>
      </c>
      <c r="C9" s="110" t="s">
        <v>98</v>
      </c>
      <c r="D9" s="121"/>
      <c r="E9" s="135"/>
      <c r="F9" s="120"/>
      <c r="G9" s="121"/>
      <c r="H9" s="120"/>
      <c r="I9" s="121"/>
      <c r="J9" s="120"/>
      <c r="K9" s="121"/>
      <c r="L9" s="120"/>
      <c r="M9" s="121"/>
      <c r="N9" s="109"/>
      <c r="O9" s="108"/>
      <c r="P9" s="120">
        <v>20700</v>
      </c>
      <c r="Q9" s="121">
        <v>25595136</v>
      </c>
      <c r="R9" s="156">
        <v>15000000</v>
      </c>
      <c r="S9" s="120"/>
      <c r="T9" s="121"/>
      <c r="U9" s="109">
        <v>40200</v>
      </c>
      <c r="V9" s="108">
        <v>11536998</v>
      </c>
      <c r="W9" s="109"/>
      <c r="X9" s="108"/>
      <c r="Y9" s="109"/>
      <c r="Z9" s="108"/>
      <c r="AA9" s="109">
        <v>0</v>
      </c>
      <c r="AB9" s="108">
        <v>0</v>
      </c>
      <c r="AC9" s="128">
        <v>0</v>
      </c>
      <c r="AD9" s="129">
        <v>0</v>
      </c>
      <c r="AE9" s="128">
        <v>0</v>
      </c>
      <c r="AF9" s="129">
        <v>0</v>
      </c>
      <c r="AG9" s="128">
        <v>0</v>
      </c>
      <c r="AH9" s="129">
        <v>0</v>
      </c>
      <c r="AI9" s="139">
        <f t="shared" si="4"/>
        <v>52132134</v>
      </c>
      <c r="AJ9" s="106">
        <f t="shared" si="1"/>
        <v>52132134</v>
      </c>
      <c r="AK9" s="188">
        <f t="shared" si="2"/>
        <v>37132134</v>
      </c>
      <c r="AM9" s="192">
        <f t="shared" si="3"/>
        <v>52132134</v>
      </c>
      <c r="AN9" s="211">
        <f>VLOOKUP(B9,'АПП БАЗ (0)'!$B$8:$Y$72,14,FALSE)*1000</f>
        <v>0</v>
      </c>
      <c r="AO9" s="197">
        <v>0</v>
      </c>
      <c r="AQ9" s="124">
        <f t="shared" si="0"/>
        <v>-52132134</v>
      </c>
    </row>
    <row r="10" spans="1:44" ht="17.25" customHeight="1" x14ac:dyDescent="0.25">
      <c r="A10" s="107">
        <v>7</v>
      </c>
      <c r="B10" s="111">
        <v>390070</v>
      </c>
      <c r="C10" s="110" t="s">
        <v>87</v>
      </c>
      <c r="D10" s="121"/>
      <c r="E10" s="135"/>
      <c r="F10" s="120"/>
      <c r="G10" s="121"/>
      <c r="H10" s="120"/>
      <c r="I10" s="121"/>
      <c r="J10" s="120"/>
      <c r="K10" s="121"/>
      <c r="L10" s="120"/>
      <c r="M10" s="121"/>
      <c r="N10" s="109"/>
      <c r="O10" s="108"/>
      <c r="P10" s="120"/>
      <c r="Q10" s="121"/>
      <c r="R10" s="156">
        <v>0</v>
      </c>
      <c r="S10" s="120"/>
      <c r="T10" s="121"/>
      <c r="U10" s="109"/>
      <c r="V10" s="108"/>
      <c r="W10" s="109"/>
      <c r="X10" s="108"/>
      <c r="Y10" s="109"/>
      <c r="Z10" s="108"/>
      <c r="AA10" s="109">
        <v>47000</v>
      </c>
      <c r="AB10" s="108">
        <v>51683080</v>
      </c>
      <c r="AC10" s="128">
        <v>0</v>
      </c>
      <c r="AD10" s="129">
        <v>0</v>
      </c>
      <c r="AE10" s="128">
        <v>0</v>
      </c>
      <c r="AF10" s="129">
        <v>0</v>
      </c>
      <c r="AG10" s="128">
        <v>0</v>
      </c>
      <c r="AH10" s="129">
        <v>0</v>
      </c>
      <c r="AI10" s="139">
        <f t="shared" si="4"/>
        <v>51683080</v>
      </c>
      <c r="AJ10" s="106">
        <f t="shared" si="1"/>
        <v>51683080</v>
      </c>
      <c r="AK10" s="188">
        <f t="shared" si="2"/>
        <v>51683080</v>
      </c>
      <c r="AM10" s="192">
        <f t="shared" si="3"/>
        <v>51683080</v>
      </c>
      <c r="AN10" s="211">
        <f>VLOOKUP(B10,'АПП БАЗ (0)'!$B$8:$Y$72,14,FALSE)*1000</f>
        <v>0</v>
      </c>
      <c r="AO10" s="197">
        <v>0</v>
      </c>
      <c r="AQ10" s="124">
        <f t="shared" si="0"/>
        <v>-51683080</v>
      </c>
    </row>
    <row r="11" spans="1:44" ht="17.25" customHeight="1" x14ac:dyDescent="0.25">
      <c r="A11" s="107">
        <v>8</v>
      </c>
      <c r="B11" s="111">
        <v>390520</v>
      </c>
      <c r="C11" s="110" t="s">
        <v>112</v>
      </c>
      <c r="D11" s="121"/>
      <c r="E11" s="135"/>
      <c r="F11" s="120"/>
      <c r="G11" s="121"/>
      <c r="H11" s="120"/>
      <c r="I11" s="121"/>
      <c r="J11" s="120"/>
      <c r="K11" s="121"/>
      <c r="L11" s="120"/>
      <c r="M11" s="121"/>
      <c r="N11" s="109"/>
      <c r="O11" s="108"/>
      <c r="P11" s="120"/>
      <c r="Q11" s="121"/>
      <c r="R11" s="121"/>
      <c r="S11" s="120"/>
      <c r="T11" s="121"/>
      <c r="U11" s="109"/>
      <c r="V11" s="108"/>
      <c r="W11" s="109"/>
      <c r="X11" s="108"/>
      <c r="Y11" s="109"/>
      <c r="Z11" s="108"/>
      <c r="AA11" s="109">
        <v>55000</v>
      </c>
      <c r="AB11" s="108">
        <v>38945500</v>
      </c>
      <c r="AC11" s="128">
        <v>0</v>
      </c>
      <c r="AD11" s="129">
        <v>0</v>
      </c>
      <c r="AE11" s="128">
        <v>0</v>
      </c>
      <c r="AF11" s="129">
        <v>0</v>
      </c>
      <c r="AG11" s="128">
        <v>0</v>
      </c>
      <c r="AH11" s="129">
        <v>0</v>
      </c>
      <c r="AI11" s="139">
        <f t="shared" si="4"/>
        <v>38945500</v>
      </c>
      <c r="AJ11" s="106">
        <f t="shared" si="1"/>
        <v>38945500</v>
      </c>
      <c r="AK11" s="188">
        <f t="shared" si="2"/>
        <v>38945500</v>
      </c>
      <c r="AM11" s="192">
        <f t="shared" si="3"/>
        <v>38945500</v>
      </c>
      <c r="AN11" s="211">
        <f>VLOOKUP(B11,'АПП БАЗ (0)'!$B$8:$Y$72,14,FALSE)*1000</f>
        <v>0</v>
      </c>
      <c r="AO11" s="197">
        <v>0</v>
      </c>
      <c r="AQ11" s="124">
        <f t="shared" si="0"/>
        <v>-38945500</v>
      </c>
    </row>
    <row r="12" spans="1:44" ht="17.25" customHeight="1" x14ac:dyDescent="0.25">
      <c r="A12" s="107">
        <v>9</v>
      </c>
      <c r="B12" s="111">
        <v>390130</v>
      </c>
      <c r="C12" s="110" t="s">
        <v>113</v>
      </c>
      <c r="D12" s="121"/>
      <c r="E12" s="135"/>
      <c r="F12" s="120"/>
      <c r="G12" s="121"/>
      <c r="H12" s="120"/>
      <c r="I12" s="121"/>
      <c r="J12" s="120"/>
      <c r="K12" s="121"/>
      <c r="L12" s="120"/>
      <c r="M12" s="121"/>
      <c r="N12" s="109"/>
      <c r="O12" s="108"/>
      <c r="P12" s="120">
        <v>5017</v>
      </c>
      <c r="Q12" s="121">
        <v>6203420.1600000001</v>
      </c>
      <c r="R12" s="121"/>
      <c r="S12" s="120"/>
      <c r="T12" s="121"/>
      <c r="U12" s="109">
        <v>67800</v>
      </c>
      <c r="V12" s="108">
        <v>19457922</v>
      </c>
      <c r="W12" s="109"/>
      <c r="X12" s="108"/>
      <c r="Y12" s="109"/>
      <c r="Z12" s="108"/>
      <c r="AA12" s="109">
        <v>0</v>
      </c>
      <c r="AB12" s="108">
        <v>0</v>
      </c>
      <c r="AC12" s="128">
        <v>0</v>
      </c>
      <c r="AD12" s="129">
        <v>0</v>
      </c>
      <c r="AE12" s="128">
        <v>0</v>
      </c>
      <c r="AF12" s="129">
        <v>0</v>
      </c>
      <c r="AG12" s="128">
        <v>0</v>
      </c>
      <c r="AH12" s="129">
        <v>0</v>
      </c>
      <c r="AI12" s="139">
        <f t="shared" si="4"/>
        <v>25661342.16</v>
      </c>
      <c r="AJ12" s="106">
        <f t="shared" si="1"/>
        <v>25661342.16</v>
      </c>
      <c r="AK12" s="188">
        <f t="shared" si="2"/>
        <v>25661342.16</v>
      </c>
      <c r="AM12" s="192">
        <f t="shared" si="3"/>
        <v>25661342.16</v>
      </c>
      <c r="AN12" s="211">
        <f>VLOOKUP(B12,'АПП БАЗ (0)'!$B$8:$Y$72,14,FALSE)*1000</f>
        <v>0</v>
      </c>
      <c r="AO12" s="197">
        <v>0</v>
      </c>
      <c r="AQ12" s="124">
        <f t="shared" si="0"/>
        <v>-25661342.16</v>
      </c>
    </row>
    <row r="13" spans="1:44" ht="17.25" customHeight="1" x14ac:dyDescent="0.25">
      <c r="A13" s="107">
        <v>10</v>
      </c>
      <c r="B13" s="111">
        <v>390680</v>
      </c>
      <c r="C13" s="110" t="s">
        <v>114</v>
      </c>
      <c r="D13" s="121"/>
      <c r="E13" s="135"/>
      <c r="F13" s="120"/>
      <c r="G13" s="121"/>
      <c r="H13" s="120"/>
      <c r="I13" s="121"/>
      <c r="J13" s="120"/>
      <c r="K13" s="121"/>
      <c r="L13" s="120"/>
      <c r="M13" s="121"/>
      <c r="N13" s="109"/>
      <c r="O13" s="108"/>
      <c r="P13" s="120">
        <v>12356</v>
      </c>
      <c r="Q13" s="121">
        <v>15277946.880000001</v>
      </c>
      <c r="R13" s="121"/>
      <c r="S13" s="120"/>
      <c r="T13" s="121"/>
      <c r="U13" s="109">
        <v>86100</v>
      </c>
      <c r="V13" s="108">
        <v>24709839</v>
      </c>
      <c r="W13" s="109"/>
      <c r="X13" s="108"/>
      <c r="Y13" s="109"/>
      <c r="Z13" s="108"/>
      <c r="AA13" s="109">
        <v>0</v>
      </c>
      <c r="AB13" s="108">
        <v>0</v>
      </c>
      <c r="AC13" s="128">
        <v>1092.2179999999998</v>
      </c>
      <c r="AD13" s="129">
        <v>413000</v>
      </c>
      <c r="AE13" s="128">
        <v>788.26</v>
      </c>
      <c r="AF13" s="129">
        <v>333000</v>
      </c>
      <c r="AG13" s="128">
        <v>270.45600000000002</v>
      </c>
      <c r="AH13" s="129">
        <v>33000</v>
      </c>
      <c r="AI13" s="139">
        <f t="shared" si="4"/>
        <v>40766785.880000003</v>
      </c>
      <c r="AJ13" s="106">
        <f t="shared" si="1"/>
        <v>40766785.880000003</v>
      </c>
      <c r="AK13" s="188">
        <f t="shared" si="2"/>
        <v>40766785.880000003</v>
      </c>
      <c r="AM13" s="192">
        <f t="shared" si="3"/>
        <v>39987785.880000003</v>
      </c>
      <c r="AN13" s="211">
        <f>VLOOKUP(B13,'АПП БАЗ (0)'!$B$8:$Y$72,14,FALSE)*1000</f>
        <v>0</v>
      </c>
      <c r="AO13" s="197">
        <v>0</v>
      </c>
      <c r="AQ13" s="124">
        <f t="shared" si="0"/>
        <v>-39987785.880000003</v>
      </c>
    </row>
    <row r="14" spans="1:44" ht="17.25" customHeight="1" x14ac:dyDescent="0.25">
      <c r="A14" s="107">
        <v>11</v>
      </c>
      <c r="B14" s="111">
        <v>390700</v>
      </c>
      <c r="C14" s="110" t="s">
        <v>115</v>
      </c>
      <c r="D14" s="121"/>
      <c r="E14" s="135"/>
      <c r="F14" s="120"/>
      <c r="G14" s="121"/>
      <c r="H14" s="120"/>
      <c r="I14" s="121"/>
      <c r="J14" s="120"/>
      <c r="K14" s="121"/>
      <c r="L14" s="120"/>
      <c r="M14" s="121"/>
      <c r="N14" s="109"/>
      <c r="O14" s="108"/>
      <c r="P14" s="120">
        <v>250</v>
      </c>
      <c r="Q14" s="121">
        <v>309120</v>
      </c>
      <c r="R14" s="121"/>
      <c r="S14" s="120"/>
      <c r="T14" s="121"/>
      <c r="U14" s="109">
        <v>1800</v>
      </c>
      <c r="V14" s="108">
        <v>516582</v>
      </c>
      <c r="W14" s="109"/>
      <c r="X14" s="108"/>
      <c r="Y14" s="109"/>
      <c r="Z14" s="108"/>
      <c r="AA14" s="109">
        <v>0</v>
      </c>
      <c r="AB14" s="108">
        <v>0</v>
      </c>
      <c r="AC14" s="128">
        <v>187.614</v>
      </c>
      <c r="AD14" s="129">
        <v>0</v>
      </c>
      <c r="AE14" s="128">
        <v>0</v>
      </c>
      <c r="AF14" s="129">
        <v>231000</v>
      </c>
      <c r="AG14" s="128">
        <v>187.614</v>
      </c>
      <c r="AH14" s="129">
        <v>0</v>
      </c>
      <c r="AI14" s="139">
        <f t="shared" si="4"/>
        <v>1056702</v>
      </c>
      <c r="AJ14" s="106">
        <f t="shared" si="1"/>
        <v>1056702</v>
      </c>
      <c r="AK14" s="188">
        <f t="shared" si="2"/>
        <v>1056702</v>
      </c>
      <c r="AM14" s="192">
        <f t="shared" si="3"/>
        <v>825702</v>
      </c>
      <c r="AN14" s="211">
        <f>VLOOKUP(B14,'АПП БАЗ (0)'!$B$8:$Y$72,14,FALSE)*1000</f>
        <v>0</v>
      </c>
      <c r="AO14" s="197">
        <v>0</v>
      </c>
      <c r="AQ14" s="124">
        <f t="shared" si="0"/>
        <v>-825702</v>
      </c>
    </row>
    <row r="15" spans="1:44" ht="17.25" customHeight="1" x14ac:dyDescent="0.25">
      <c r="A15" s="107">
        <v>12</v>
      </c>
      <c r="B15" s="111">
        <v>391610</v>
      </c>
      <c r="C15" s="110" t="s">
        <v>104</v>
      </c>
      <c r="D15" s="121"/>
      <c r="E15" s="135"/>
      <c r="F15" s="120"/>
      <c r="G15" s="121"/>
      <c r="H15" s="120"/>
      <c r="I15" s="121"/>
      <c r="J15" s="120"/>
      <c r="K15" s="121"/>
      <c r="L15" s="120"/>
      <c r="M15" s="121"/>
      <c r="N15" s="109"/>
      <c r="O15" s="108"/>
      <c r="P15" s="120"/>
      <c r="Q15" s="121"/>
      <c r="R15" s="156">
        <v>0</v>
      </c>
      <c r="S15" s="120"/>
      <c r="T15" s="121"/>
      <c r="U15" s="109">
        <v>19000</v>
      </c>
      <c r="V15" s="108">
        <v>5452810</v>
      </c>
      <c r="W15" s="109"/>
      <c r="X15" s="108"/>
      <c r="Y15" s="109"/>
      <c r="Z15" s="108"/>
      <c r="AA15" s="109">
        <v>0</v>
      </c>
      <c r="AB15" s="108">
        <v>0</v>
      </c>
      <c r="AC15" s="128">
        <v>0</v>
      </c>
      <c r="AD15" s="129">
        <v>0</v>
      </c>
      <c r="AE15" s="128">
        <v>0</v>
      </c>
      <c r="AF15" s="129">
        <v>0</v>
      </c>
      <c r="AG15" s="128">
        <v>0</v>
      </c>
      <c r="AH15" s="129">
        <v>0</v>
      </c>
      <c r="AI15" s="139">
        <f t="shared" si="4"/>
        <v>5452810</v>
      </c>
      <c r="AJ15" s="106">
        <f t="shared" si="1"/>
        <v>5452810</v>
      </c>
      <c r="AK15" s="188">
        <f t="shared" si="2"/>
        <v>5452810</v>
      </c>
      <c r="AM15" s="192">
        <f>AJ15-AH15-AF15-AD15</f>
        <v>5452810</v>
      </c>
      <c r="AN15" s="211">
        <f>VLOOKUP(B15,'АПП БАЗ (0)'!$B$8:$Y$72,14,FALSE)*1000</f>
        <v>0</v>
      </c>
      <c r="AO15" s="197">
        <v>0</v>
      </c>
      <c r="AQ15" s="124">
        <f t="shared" si="0"/>
        <v>-5452810</v>
      </c>
    </row>
    <row r="16" spans="1:44" ht="17.25" customHeight="1" x14ac:dyDescent="0.25">
      <c r="A16" s="113">
        <v>13</v>
      </c>
      <c r="B16" s="115">
        <v>390440</v>
      </c>
      <c r="C16" s="114" t="s">
        <v>95</v>
      </c>
      <c r="D16" s="132" t="e">
        <f>G16+I16+K16+M16+AO16</f>
        <v>#REF!</v>
      </c>
      <c r="E16" s="135"/>
      <c r="F16" s="120">
        <v>131086</v>
      </c>
      <c r="G16" s="156" t="e">
        <f>#REF!-#REF!</f>
        <v>#REF!</v>
      </c>
      <c r="H16" s="120">
        <v>161907</v>
      </c>
      <c r="I16" s="156" t="e">
        <f>#REF!</f>
        <v>#REF!</v>
      </c>
      <c r="J16" s="120">
        <v>9357</v>
      </c>
      <c r="K16" s="121">
        <v>12389252.109999999</v>
      </c>
      <c r="L16" s="120">
        <v>30258</v>
      </c>
      <c r="M16" s="121">
        <v>67780036.230000004</v>
      </c>
      <c r="N16" s="109">
        <v>0</v>
      </c>
      <c r="O16" s="108">
        <v>0</v>
      </c>
      <c r="P16" s="128">
        <f>N16</f>
        <v>0</v>
      </c>
      <c r="Q16" s="129">
        <f>O16</f>
        <v>0</v>
      </c>
      <c r="R16" s="156">
        <v>26000000</v>
      </c>
      <c r="S16" s="120"/>
      <c r="T16" s="121"/>
      <c r="U16" s="109"/>
      <c r="V16" s="108">
        <f>AR16</f>
        <v>4941669.8617760539</v>
      </c>
      <c r="W16" s="109"/>
      <c r="X16" s="108"/>
      <c r="Y16" s="109">
        <v>4344</v>
      </c>
      <c r="Z16" s="108" t="e">
        <f>'АПП БАЗ (0)'!#REF!*1000</f>
        <v>#REF!</v>
      </c>
      <c r="AA16" s="109">
        <v>37574</v>
      </c>
      <c r="AB16" s="108">
        <v>24110484.32</v>
      </c>
      <c r="AC16" s="128">
        <v>0</v>
      </c>
      <c r="AD16" s="129">
        <v>0</v>
      </c>
      <c r="AE16" s="128">
        <v>0</v>
      </c>
      <c r="AF16" s="129">
        <v>0</v>
      </c>
      <c r="AG16" s="128">
        <v>0</v>
      </c>
      <c r="AH16" s="129">
        <v>0</v>
      </c>
      <c r="AI16" s="139" t="e">
        <f>Q16+R16+T16+V16+X16+Z16+AB16+AD16+AF16+AH16</f>
        <v>#REF!</v>
      </c>
      <c r="AJ16" s="106" t="e">
        <f t="shared" si="1"/>
        <v>#REF!</v>
      </c>
      <c r="AK16" s="188" t="e">
        <f t="shared" si="2"/>
        <v>#REF!</v>
      </c>
      <c r="AM16" s="192" t="e">
        <f t="shared" ref="AM16:AM42" si="5">AJ16-AH16-AF16-AD16</f>
        <v>#REF!</v>
      </c>
      <c r="AN16" s="211">
        <f>VLOOKUP(B16,'АПП БАЗ (0)'!$B$8:$Y$72,14,FALSE)*1000</f>
        <v>0</v>
      </c>
      <c r="AO16" s="197">
        <v>3384591.75</v>
      </c>
      <c r="AQ16" s="124" t="e">
        <f>AN16-AM16</f>
        <v>#REF!</v>
      </c>
      <c r="AR16" s="104">
        <v>4941669.8617760539</v>
      </c>
    </row>
    <row r="17" spans="1:44" ht="17.25" customHeight="1" x14ac:dyDescent="0.25">
      <c r="A17" s="107">
        <v>14</v>
      </c>
      <c r="B17" s="111">
        <v>390100</v>
      </c>
      <c r="C17" s="112" t="s">
        <v>93</v>
      </c>
      <c r="D17" s="132" t="e">
        <f>G17+I17+K17+M17+AO17</f>
        <v>#REF!</v>
      </c>
      <c r="E17" s="135"/>
      <c r="F17" s="120">
        <v>104014</v>
      </c>
      <c r="G17" s="156" t="e">
        <f>#REF!-#REF!</f>
        <v>#REF!</v>
      </c>
      <c r="H17" s="120">
        <v>128469</v>
      </c>
      <c r="I17" s="156" t="e">
        <f>#REF!</f>
        <v>#REF!</v>
      </c>
      <c r="J17" s="120">
        <v>9973</v>
      </c>
      <c r="K17" s="121">
        <v>15309336.75</v>
      </c>
      <c r="L17" s="120">
        <v>22423</v>
      </c>
      <c r="M17" s="121">
        <v>50155855.61999999</v>
      </c>
      <c r="N17" s="109">
        <v>0</v>
      </c>
      <c r="O17" s="108">
        <v>0</v>
      </c>
      <c r="P17" s="128">
        <f t="shared" ref="P17:P42" si="6">N17</f>
        <v>0</v>
      </c>
      <c r="Q17" s="129">
        <f t="shared" ref="Q17:Q42" si="7">O17</f>
        <v>0</v>
      </c>
      <c r="R17" s="156">
        <v>0</v>
      </c>
      <c r="S17" s="120"/>
      <c r="T17" s="121"/>
      <c r="U17" s="109"/>
      <c r="V17" s="108">
        <f t="shared" ref="V17:V42" si="8">AR17</f>
        <v>3890613.2001119554</v>
      </c>
      <c r="W17" s="109"/>
      <c r="X17" s="108"/>
      <c r="Y17" s="109">
        <v>3005</v>
      </c>
      <c r="Z17" s="108" t="e">
        <f>'АПП БАЗ (0)'!#REF!*1000</f>
        <v>#REF!</v>
      </c>
      <c r="AA17" s="109">
        <v>29642</v>
      </c>
      <c r="AB17" s="108">
        <v>19020678.559999999</v>
      </c>
      <c r="AC17" s="128">
        <v>10350.237999999999</v>
      </c>
      <c r="AD17" s="129">
        <v>4007000</v>
      </c>
      <c r="AE17" s="128">
        <v>7648.28</v>
      </c>
      <c r="AF17" s="129">
        <v>3020000</v>
      </c>
      <c r="AG17" s="128">
        <v>2452.194</v>
      </c>
      <c r="AH17" s="129">
        <v>246000</v>
      </c>
      <c r="AI17" s="139" t="e">
        <f t="shared" si="4"/>
        <v>#REF!</v>
      </c>
      <c r="AJ17" s="106" t="e">
        <f t="shared" si="1"/>
        <v>#REF!</v>
      </c>
      <c r="AK17" s="188" t="e">
        <f t="shared" si="2"/>
        <v>#REF!</v>
      </c>
      <c r="AM17" s="192" t="e">
        <f t="shared" si="5"/>
        <v>#REF!</v>
      </c>
      <c r="AN17" s="211">
        <f>VLOOKUP(B17,'АПП БАЗ (0)'!$B$8:$Y$72,14,FALSE)*1000</f>
        <v>0</v>
      </c>
      <c r="AO17" s="197">
        <v>2703282</v>
      </c>
      <c r="AQ17" s="124" t="e">
        <f t="shared" si="0"/>
        <v>#REF!</v>
      </c>
      <c r="AR17" s="104">
        <v>3890613.2001119554</v>
      </c>
    </row>
    <row r="18" spans="1:44" ht="17.25" customHeight="1" x14ac:dyDescent="0.25">
      <c r="A18" s="107">
        <v>15</v>
      </c>
      <c r="B18" s="111">
        <v>390090</v>
      </c>
      <c r="C18" s="112" t="s">
        <v>92</v>
      </c>
      <c r="D18" s="132" t="e">
        <f t="shared" ref="D18:D41" si="9">G18+I18+K18+M18+AO18</f>
        <v>#REF!</v>
      </c>
      <c r="E18" s="135"/>
      <c r="F18" s="120">
        <v>104014</v>
      </c>
      <c r="G18" s="156" t="e">
        <f>#REF!-#REF!</f>
        <v>#REF!</v>
      </c>
      <c r="H18" s="120">
        <v>128469</v>
      </c>
      <c r="I18" s="156" t="e">
        <f>#REF!</f>
        <v>#REF!</v>
      </c>
      <c r="J18" s="120">
        <v>6396</v>
      </c>
      <c r="K18" s="121">
        <v>7648042.8399999999</v>
      </c>
      <c r="L18" s="120">
        <v>24455</v>
      </c>
      <c r="M18" s="121">
        <v>54261429.830000021</v>
      </c>
      <c r="N18" s="109">
        <v>0</v>
      </c>
      <c r="O18" s="108">
        <v>0</v>
      </c>
      <c r="P18" s="128">
        <f t="shared" si="6"/>
        <v>0</v>
      </c>
      <c r="Q18" s="129">
        <f t="shared" si="7"/>
        <v>0</v>
      </c>
      <c r="R18" s="156">
        <v>0</v>
      </c>
      <c r="S18" s="120"/>
      <c r="T18" s="121"/>
      <c r="U18" s="109"/>
      <c r="V18" s="108">
        <f t="shared" si="8"/>
        <v>4345046.5616160035</v>
      </c>
      <c r="W18" s="109"/>
      <c r="X18" s="108"/>
      <c r="Y18" s="109">
        <v>3844</v>
      </c>
      <c r="Z18" s="108" t="e">
        <f>'АПП БАЗ (0)'!#REF!*1000</f>
        <v>#REF!</v>
      </c>
      <c r="AA18" s="109">
        <v>29764</v>
      </c>
      <c r="AB18" s="108">
        <v>19098963.52</v>
      </c>
      <c r="AC18" s="128">
        <v>5239.2449999999999</v>
      </c>
      <c r="AD18" s="129">
        <v>2051000</v>
      </c>
      <c r="AE18" s="128">
        <v>3914.58</v>
      </c>
      <c r="AF18" s="129">
        <v>1481000</v>
      </c>
      <c r="AG18" s="128">
        <v>1202.8389999999999</v>
      </c>
      <c r="AH18" s="129">
        <v>120000</v>
      </c>
      <c r="AI18" s="139" t="e">
        <f t="shared" si="4"/>
        <v>#REF!</v>
      </c>
      <c r="AJ18" s="106" t="e">
        <f t="shared" si="1"/>
        <v>#REF!</v>
      </c>
      <c r="AK18" s="188" t="e">
        <f t="shared" si="2"/>
        <v>#REF!</v>
      </c>
      <c r="AM18" s="192" t="e">
        <f t="shared" si="5"/>
        <v>#REF!</v>
      </c>
      <c r="AN18" s="211">
        <f>VLOOKUP(B18,'АПП БАЗ (0)'!$B$8:$Y$72,14,FALSE)*1000</f>
        <v>0</v>
      </c>
      <c r="AO18" s="197">
        <v>2656251.29</v>
      </c>
      <c r="AQ18" s="124" t="e">
        <f t="shared" si="0"/>
        <v>#REF!</v>
      </c>
      <c r="AR18" s="104">
        <v>4345046.5616160035</v>
      </c>
    </row>
    <row r="19" spans="1:44" ht="17.25" customHeight="1" x14ac:dyDescent="0.25">
      <c r="A19" s="113">
        <v>16</v>
      </c>
      <c r="B19" s="111">
        <v>390400</v>
      </c>
      <c r="C19" s="112" t="s">
        <v>94</v>
      </c>
      <c r="D19" s="132" t="e">
        <f t="shared" si="9"/>
        <v>#REF!</v>
      </c>
      <c r="E19" s="135"/>
      <c r="F19" s="120">
        <v>223700</v>
      </c>
      <c r="G19" s="156" t="e">
        <f>#REF!-#REF!</f>
        <v>#REF!</v>
      </c>
      <c r="H19" s="120">
        <v>276297</v>
      </c>
      <c r="I19" s="156" t="e">
        <f>#REF!</f>
        <v>#REF!</v>
      </c>
      <c r="J19" s="120">
        <v>14844</v>
      </c>
      <c r="K19" s="121">
        <v>17759807.180000003</v>
      </c>
      <c r="L19" s="120">
        <v>51053</v>
      </c>
      <c r="M19" s="121">
        <v>114136806.17000005</v>
      </c>
      <c r="N19" s="109">
        <v>0</v>
      </c>
      <c r="O19" s="108">
        <v>0</v>
      </c>
      <c r="P19" s="128">
        <f t="shared" si="6"/>
        <v>0</v>
      </c>
      <c r="Q19" s="129">
        <f t="shared" si="7"/>
        <v>0</v>
      </c>
      <c r="R19" s="156">
        <v>0</v>
      </c>
      <c r="S19" s="120"/>
      <c r="T19" s="121"/>
      <c r="U19" s="109"/>
      <c r="V19" s="108">
        <f t="shared" si="8"/>
        <v>10560043.226320028</v>
      </c>
      <c r="W19" s="109"/>
      <c r="X19" s="108"/>
      <c r="Y19" s="109">
        <v>9487</v>
      </c>
      <c r="Z19" s="108" t="e">
        <f>'АПП БАЗ (0)'!#REF!*1000</f>
        <v>#REF!</v>
      </c>
      <c r="AA19" s="109">
        <v>63606</v>
      </c>
      <c r="AB19" s="108">
        <v>40814698.079999998</v>
      </c>
      <c r="AC19" s="128">
        <v>1693.6779999999999</v>
      </c>
      <c r="AD19" s="129">
        <v>531000</v>
      </c>
      <c r="AE19" s="128">
        <v>1013.477</v>
      </c>
      <c r="AF19" s="129">
        <v>760000</v>
      </c>
      <c r="AG19" s="128">
        <v>617.25699999999995</v>
      </c>
      <c r="AH19" s="129">
        <v>62000</v>
      </c>
      <c r="AI19" s="139" t="e">
        <f t="shared" si="4"/>
        <v>#REF!</v>
      </c>
      <c r="AJ19" s="106" t="e">
        <f t="shared" si="1"/>
        <v>#REF!</v>
      </c>
      <c r="AK19" s="188" t="e">
        <f t="shared" si="2"/>
        <v>#REF!</v>
      </c>
      <c r="AM19" s="192" t="e">
        <f t="shared" si="5"/>
        <v>#REF!</v>
      </c>
      <c r="AN19" s="211">
        <f>VLOOKUP(B19,'АПП БАЗ (0)'!$B$8:$Y$72,14,FALSE)*1000</f>
        <v>0</v>
      </c>
      <c r="AO19" s="197">
        <v>5668088.9800000004</v>
      </c>
      <c r="AQ19" s="124" t="e">
        <f t="shared" si="0"/>
        <v>#REF!</v>
      </c>
      <c r="AR19" s="104">
        <v>10560043.226320028</v>
      </c>
    </row>
    <row r="20" spans="1:44" ht="17.25" customHeight="1" x14ac:dyDescent="0.25">
      <c r="A20" s="107">
        <v>17</v>
      </c>
      <c r="B20" s="111">
        <v>390110</v>
      </c>
      <c r="C20" s="112" t="s">
        <v>99</v>
      </c>
      <c r="D20" s="132" t="e">
        <f t="shared" si="9"/>
        <v>#REF!</v>
      </c>
      <c r="E20" s="135"/>
      <c r="F20" s="120">
        <v>17098</v>
      </c>
      <c r="G20" s="156" t="e">
        <f>#REF!-#REF!</f>
        <v>#REF!</v>
      </c>
      <c r="H20" s="120">
        <v>21118</v>
      </c>
      <c r="I20" s="156" t="e">
        <f>#REF!</f>
        <v>#REF!</v>
      </c>
      <c r="J20" s="120">
        <v>1058</v>
      </c>
      <c r="K20" s="121">
        <v>1231653.1199999999</v>
      </c>
      <c r="L20" s="120">
        <v>3983</v>
      </c>
      <c r="M20" s="121">
        <v>8630823.4799999986</v>
      </c>
      <c r="N20" s="109">
        <v>0</v>
      </c>
      <c r="O20" s="108">
        <v>0</v>
      </c>
      <c r="P20" s="128">
        <f t="shared" si="6"/>
        <v>0</v>
      </c>
      <c r="Q20" s="129">
        <f t="shared" si="7"/>
        <v>0</v>
      </c>
      <c r="R20" s="121"/>
      <c r="S20" s="120"/>
      <c r="T20" s="121"/>
      <c r="U20" s="109"/>
      <c r="V20" s="108">
        <f t="shared" si="8"/>
        <v>645390.3175999932</v>
      </c>
      <c r="W20" s="109"/>
      <c r="X20" s="108"/>
      <c r="Y20" s="109">
        <v>1158</v>
      </c>
      <c r="Z20" s="108" t="e">
        <f>'АПП БАЗ (0)'!#REF!*1000</f>
        <v>#REF!</v>
      </c>
      <c r="AA20" s="109">
        <v>4922</v>
      </c>
      <c r="AB20" s="108">
        <v>3158348.96</v>
      </c>
      <c r="AC20" s="128">
        <v>3925.2609999999995</v>
      </c>
      <c r="AD20" s="129">
        <v>1500000</v>
      </c>
      <c r="AE20" s="128">
        <v>2862.93</v>
      </c>
      <c r="AF20" s="129">
        <v>1188000</v>
      </c>
      <c r="AG20" s="128">
        <v>964.87</v>
      </c>
      <c r="AH20" s="129">
        <v>96000</v>
      </c>
      <c r="AI20" s="139" t="e">
        <f t="shared" si="4"/>
        <v>#REF!</v>
      </c>
      <c r="AJ20" s="106" t="e">
        <f t="shared" si="1"/>
        <v>#REF!</v>
      </c>
      <c r="AK20" s="188" t="e">
        <f t="shared" si="2"/>
        <v>#REF!</v>
      </c>
      <c r="AM20" s="192" t="e">
        <f t="shared" si="5"/>
        <v>#REF!</v>
      </c>
      <c r="AN20" s="211">
        <f>VLOOKUP(B20,'АПП БАЗ (0)'!$B$8:$Y$72,14,FALSE)*1000</f>
        <v>0</v>
      </c>
      <c r="AO20" s="197">
        <v>399716.6</v>
      </c>
      <c r="AQ20" s="124" t="e">
        <f t="shared" si="0"/>
        <v>#REF!</v>
      </c>
      <c r="AR20" s="104">
        <v>645390.3175999932</v>
      </c>
    </row>
    <row r="21" spans="1:44" ht="17.25" customHeight="1" x14ac:dyDescent="0.25">
      <c r="A21" s="107">
        <v>18</v>
      </c>
      <c r="B21" s="111">
        <v>390890</v>
      </c>
      <c r="C21" s="112" t="s">
        <v>116</v>
      </c>
      <c r="D21" s="132" t="e">
        <f t="shared" si="9"/>
        <v>#REF!</v>
      </c>
      <c r="E21" s="135"/>
      <c r="F21" s="120">
        <v>158158</v>
      </c>
      <c r="G21" s="156" t="e">
        <f>#REF!-#REF!</f>
        <v>#REF!</v>
      </c>
      <c r="H21" s="120">
        <v>195344</v>
      </c>
      <c r="I21" s="156" t="e">
        <f>#REF!</f>
        <v>#REF!</v>
      </c>
      <c r="J21" s="120">
        <v>108026</v>
      </c>
      <c r="K21" s="121">
        <v>242275977.61000001</v>
      </c>
      <c r="L21" s="120">
        <v>633</v>
      </c>
      <c r="M21" s="121">
        <v>4344125.13</v>
      </c>
      <c r="N21" s="109">
        <v>0</v>
      </c>
      <c r="O21" s="108">
        <v>0</v>
      </c>
      <c r="P21" s="128">
        <f t="shared" si="6"/>
        <v>0</v>
      </c>
      <c r="Q21" s="129">
        <f t="shared" si="7"/>
        <v>0</v>
      </c>
      <c r="R21" s="156">
        <v>0</v>
      </c>
      <c r="S21" s="120"/>
      <c r="T21" s="121"/>
      <c r="U21" s="109"/>
      <c r="V21" s="108">
        <f t="shared" si="8"/>
        <v>5955589.5019359589</v>
      </c>
      <c r="W21" s="109"/>
      <c r="X21" s="108"/>
      <c r="Y21" s="109">
        <v>0</v>
      </c>
      <c r="Z21" s="108" t="e">
        <f>'АПП БАЗ (0)'!#REF!*1000</f>
        <v>#REF!</v>
      </c>
      <c r="AA21" s="109">
        <v>45261</v>
      </c>
      <c r="AB21" s="108">
        <v>29043078.48</v>
      </c>
      <c r="AC21" s="128">
        <v>3804.49</v>
      </c>
      <c r="AD21" s="129">
        <v>1213000</v>
      </c>
      <c r="AE21" s="128">
        <v>2315.1559999999999</v>
      </c>
      <c r="AF21" s="129">
        <v>1640000</v>
      </c>
      <c r="AG21" s="128">
        <v>1331.9749999999999</v>
      </c>
      <c r="AH21" s="129">
        <v>155000</v>
      </c>
      <c r="AI21" s="139" t="e">
        <f t="shared" si="4"/>
        <v>#REF!</v>
      </c>
      <c r="AJ21" s="106" t="e">
        <f t="shared" si="1"/>
        <v>#REF!</v>
      </c>
      <c r="AK21" s="188" t="e">
        <f t="shared" si="2"/>
        <v>#REF!</v>
      </c>
      <c r="AM21" s="192" t="e">
        <f t="shared" si="5"/>
        <v>#REF!</v>
      </c>
      <c r="AN21" s="211">
        <f>VLOOKUP(B21,'АПП БАЗ (0)'!$B$8:$Y$72,14,FALSE)*1000</f>
        <v>0</v>
      </c>
      <c r="AO21" s="197">
        <v>7300958.4300000006</v>
      </c>
      <c r="AQ21" s="124" t="e">
        <f t="shared" si="0"/>
        <v>#REF!</v>
      </c>
      <c r="AR21" s="104">
        <v>5955589.5019359589</v>
      </c>
    </row>
    <row r="22" spans="1:44" ht="17.25" customHeight="1" x14ac:dyDescent="0.25">
      <c r="A22" s="113">
        <v>19</v>
      </c>
      <c r="B22" s="111">
        <v>390200</v>
      </c>
      <c r="C22" s="112" t="s">
        <v>29</v>
      </c>
      <c r="D22" s="132" t="e">
        <f t="shared" si="9"/>
        <v>#REF!</v>
      </c>
      <c r="E22" s="135">
        <v>14034583.24</v>
      </c>
      <c r="F22" s="120">
        <v>35621</v>
      </c>
      <c r="G22" s="156" t="e">
        <f>#REF!-#REF!</f>
        <v>#REF!</v>
      </c>
      <c r="H22" s="120">
        <v>43996</v>
      </c>
      <c r="I22" s="156" t="e">
        <f>#REF!</f>
        <v>#REF!</v>
      </c>
      <c r="J22" s="120">
        <v>6812</v>
      </c>
      <c r="K22" s="121">
        <v>13570335.08</v>
      </c>
      <c r="L22" s="120">
        <v>6360</v>
      </c>
      <c r="M22" s="121">
        <v>14398687.83</v>
      </c>
      <c r="N22" s="109">
        <v>0</v>
      </c>
      <c r="O22" s="108">
        <v>0</v>
      </c>
      <c r="P22" s="128">
        <f t="shared" si="6"/>
        <v>0</v>
      </c>
      <c r="Q22" s="129">
        <f t="shared" si="7"/>
        <v>0</v>
      </c>
      <c r="R22" s="156">
        <v>0</v>
      </c>
      <c r="S22" s="120"/>
      <c r="T22" s="121"/>
      <c r="U22" s="109"/>
      <c r="V22" s="108">
        <f t="shared" si="8"/>
        <v>1215874.2182080001</v>
      </c>
      <c r="W22" s="109"/>
      <c r="X22" s="108"/>
      <c r="Y22" s="109">
        <v>625</v>
      </c>
      <c r="Z22" s="108" t="e">
        <f>'АПП БАЗ (0)'!#REF!*1000</f>
        <v>#REF!</v>
      </c>
      <c r="AA22" s="109">
        <v>10047</v>
      </c>
      <c r="AB22" s="108">
        <v>6446958.96</v>
      </c>
      <c r="AC22" s="128">
        <v>8488.9359999999997</v>
      </c>
      <c r="AD22" s="129">
        <v>3063000</v>
      </c>
      <c r="AE22" s="128">
        <v>5846.1030000000001</v>
      </c>
      <c r="AF22" s="129">
        <v>2954000</v>
      </c>
      <c r="AG22" s="128">
        <v>2399.1799999999998</v>
      </c>
      <c r="AH22" s="129">
        <v>240000</v>
      </c>
      <c r="AI22" s="139" t="e">
        <f t="shared" si="4"/>
        <v>#REF!</v>
      </c>
      <c r="AJ22" s="106" t="e">
        <f t="shared" si="1"/>
        <v>#REF!</v>
      </c>
      <c r="AK22" s="188" t="e">
        <f t="shared" si="2"/>
        <v>#REF!</v>
      </c>
      <c r="AM22" s="192" t="e">
        <f t="shared" si="5"/>
        <v>#REF!</v>
      </c>
      <c r="AN22" s="211">
        <f>VLOOKUP(B22,'АПП БАЗ (0)'!$B$8:$Y$72,14,FALSE)*1000</f>
        <v>0</v>
      </c>
      <c r="AO22" s="197">
        <v>979954.79999999993</v>
      </c>
      <c r="AQ22" s="124" t="e">
        <f t="shared" si="0"/>
        <v>#REF!</v>
      </c>
      <c r="AR22" s="104">
        <v>1215874.2182080001</v>
      </c>
    </row>
    <row r="23" spans="1:44" ht="17.25" customHeight="1" x14ac:dyDescent="0.25">
      <c r="A23" s="107">
        <v>20</v>
      </c>
      <c r="B23" s="111">
        <v>390160</v>
      </c>
      <c r="C23" s="112" t="s">
        <v>30</v>
      </c>
      <c r="D23" s="132" t="e">
        <f t="shared" si="9"/>
        <v>#REF!</v>
      </c>
      <c r="E23" s="135"/>
      <c r="F23" s="120">
        <v>37046</v>
      </c>
      <c r="G23" s="156" t="e">
        <f>#REF!-#REF!</f>
        <v>#REF!</v>
      </c>
      <c r="H23" s="120">
        <v>45756</v>
      </c>
      <c r="I23" s="156" t="e">
        <f>#REF!</f>
        <v>#REF!</v>
      </c>
      <c r="J23" s="120">
        <v>7194</v>
      </c>
      <c r="K23" s="121">
        <v>14344379.280000001</v>
      </c>
      <c r="L23" s="120">
        <v>6789</v>
      </c>
      <c r="M23" s="121">
        <v>15384407.990000004</v>
      </c>
      <c r="N23" s="109">
        <v>0</v>
      </c>
      <c r="O23" s="108">
        <v>0</v>
      </c>
      <c r="P23" s="128">
        <f t="shared" si="6"/>
        <v>0</v>
      </c>
      <c r="Q23" s="129">
        <f t="shared" si="7"/>
        <v>0</v>
      </c>
      <c r="R23" s="121"/>
      <c r="S23" s="120"/>
      <c r="T23" s="121"/>
      <c r="U23" s="109"/>
      <c r="V23" s="108">
        <f t="shared" si="8"/>
        <v>1000136.6612160057</v>
      </c>
      <c r="W23" s="109"/>
      <c r="X23" s="108"/>
      <c r="Y23" s="109">
        <v>1765</v>
      </c>
      <c r="Z23" s="108" t="e">
        <f>'АПП БАЗ (0)'!#REF!*1000</f>
        <v>#REF!</v>
      </c>
      <c r="AA23" s="109">
        <v>10494</v>
      </c>
      <c r="AB23" s="108">
        <v>6733789.9199999999</v>
      </c>
      <c r="AC23" s="128">
        <v>2780.6980000000003</v>
      </c>
      <c r="AD23" s="129">
        <v>980000</v>
      </c>
      <c r="AE23" s="128">
        <v>1870.4480000000001</v>
      </c>
      <c r="AF23" s="129">
        <v>947000</v>
      </c>
      <c r="AG23" s="128">
        <v>769.13400000000001</v>
      </c>
      <c r="AH23" s="129">
        <v>139000</v>
      </c>
      <c r="AI23" s="139" t="e">
        <f t="shared" si="4"/>
        <v>#REF!</v>
      </c>
      <c r="AJ23" s="106" t="e">
        <f t="shared" si="1"/>
        <v>#REF!</v>
      </c>
      <c r="AK23" s="188" t="e">
        <f t="shared" si="2"/>
        <v>#REF!</v>
      </c>
      <c r="AM23" s="192" t="e">
        <f t="shared" si="5"/>
        <v>#REF!</v>
      </c>
      <c r="AN23" s="211">
        <f>VLOOKUP(B23,'АПП БАЗ (0)'!$B$8:$Y$72,14,FALSE)*1000</f>
        <v>0</v>
      </c>
      <c r="AO23" s="197">
        <v>1105895.52</v>
      </c>
      <c r="AQ23" s="124" t="e">
        <f t="shared" si="0"/>
        <v>#REF!</v>
      </c>
      <c r="AR23" s="104">
        <v>1000136.6612160057</v>
      </c>
    </row>
    <row r="24" spans="1:44" ht="17.25" customHeight="1" x14ac:dyDescent="0.25">
      <c r="A24" s="107">
        <v>21</v>
      </c>
      <c r="B24" s="111">
        <v>390210</v>
      </c>
      <c r="C24" s="112" t="s">
        <v>31</v>
      </c>
      <c r="D24" s="132" t="e">
        <f t="shared" si="9"/>
        <v>#REF!</v>
      </c>
      <c r="E24" s="157" t="e">
        <f>#REF!+122595.6</f>
        <v>#REF!</v>
      </c>
      <c r="F24" s="120">
        <v>37046</v>
      </c>
      <c r="G24" s="156" t="e">
        <f>#REF!-#REF!</f>
        <v>#REF!</v>
      </c>
      <c r="H24" s="120">
        <v>45756</v>
      </c>
      <c r="I24" s="156" t="e">
        <f>#REF!</f>
        <v>#REF!</v>
      </c>
      <c r="J24" s="120">
        <v>6872</v>
      </c>
      <c r="K24" s="121">
        <v>13516937.619999997</v>
      </c>
      <c r="L24" s="120">
        <v>6918</v>
      </c>
      <c r="M24" s="121">
        <v>15415735.09</v>
      </c>
      <c r="N24" s="109">
        <v>0</v>
      </c>
      <c r="O24" s="108">
        <v>0</v>
      </c>
      <c r="P24" s="128">
        <f t="shared" si="6"/>
        <v>0</v>
      </c>
      <c r="Q24" s="129">
        <f t="shared" si="7"/>
        <v>0</v>
      </c>
      <c r="R24" s="156">
        <v>0</v>
      </c>
      <c r="S24" s="120"/>
      <c r="T24" s="121"/>
      <c r="U24" s="109"/>
      <c r="V24" s="108">
        <f t="shared" si="8"/>
        <v>1576402.4412160069</v>
      </c>
      <c r="W24" s="109"/>
      <c r="X24" s="108"/>
      <c r="Y24" s="109">
        <v>1704</v>
      </c>
      <c r="Z24" s="108" t="e">
        <f>'АПП БАЗ (0)'!#REF!*1000</f>
        <v>#REF!</v>
      </c>
      <c r="AA24" s="109">
        <v>10494</v>
      </c>
      <c r="AB24" s="108">
        <v>6733789.9199999999</v>
      </c>
      <c r="AC24" s="128">
        <v>4951.8540000000003</v>
      </c>
      <c r="AD24" s="129">
        <v>2180000</v>
      </c>
      <c r="AE24" s="128">
        <v>4160.7920000000004</v>
      </c>
      <c r="AF24" s="129">
        <v>819000</v>
      </c>
      <c r="AG24" s="128">
        <v>665.17499999999995</v>
      </c>
      <c r="AH24" s="129">
        <v>124000</v>
      </c>
      <c r="AI24" s="139" t="e">
        <f t="shared" si="4"/>
        <v>#REF!</v>
      </c>
      <c r="AJ24" s="106" t="e">
        <f t="shared" si="1"/>
        <v>#REF!</v>
      </c>
      <c r="AK24" s="188" t="e">
        <f t="shared" si="2"/>
        <v>#REF!</v>
      </c>
      <c r="AM24" s="192" t="e">
        <f t="shared" si="5"/>
        <v>#REF!</v>
      </c>
      <c r="AN24" s="211">
        <f>VLOOKUP(B24,'АПП БАЗ (0)'!$B$8:$Y$72,14,FALSE)*1000</f>
        <v>0</v>
      </c>
      <c r="AO24" s="197">
        <v>1052620.94</v>
      </c>
      <c r="AQ24" s="124" t="e">
        <f t="shared" si="0"/>
        <v>#REF!</v>
      </c>
      <c r="AR24" s="104">
        <v>1576402.4412160069</v>
      </c>
    </row>
    <row r="25" spans="1:44" ht="17.25" customHeight="1" x14ac:dyDescent="0.25">
      <c r="A25" s="113">
        <v>22</v>
      </c>
      <c r="B25" s="111">
        <v>390220</v>
      </c>
      <c r="C25" s="112" t="s">
        <v>32</v>
      </c>
      <c r="D25" s="132" t="e">
        <f t="shared" si="9"/>
        <v>#REF!</v>
      </c>
      <c r="E25" s="135">
        <v>14543291.09</v>
      </c>
      <c r="F25" s="120">
        <v>95465</v>
      </c>
      <c r="G25" s="156" t="e">
        <f>#REF!-#REF!</f>
        <v>#REF!</v>
      </c>
      <c r="H25" s="120">
        <v>117910</v>
      </c>
      <c r="I25" s="156" t="e">
        <f>#REF!</f>
        <v>#REF!</v>
      </c>
      <c r="J25" s="120">
        <v>21304</v>
      </c>
      <c r="K25" s="121">
        <v>41753376.829999998</v>
      </c>
      <c r="L25" s="120">
        <v>16093</v>
      </c>
      <c r="M25" s="121">
        <v>36171269.079999998</v>
      </c>
      <c r="N25" s="109">
        <v>0</v>
      </c>
      <c r="O25" s="108">
        <v>0</v>
      </c>
      <c r="P25" s="128">
        <f t="shared" si="6"/>
        <v>0</v>
      </c>
      <c r="Q25" s="129">
        <f t="shared" si="7"/>
        <v>0</v>
      </c>
      <c r="R25" s="156">
        <v>0</v>
      </c>
      <c r="S25" s="120"/>
      <c r="T25" s="121"/>
      <c r="U25" s="109"/>
      <c r="V25" s="108">
        <f t="shared" si="8"/>
        <v>4881666.5220638812</v>
      </c>
      <c r="W25" s="109"/>
      <c r="X25" s="108"/>
      <c r="Y25" s="109">
        <v>3129</v>
      </c>
      <c r="Z25" s="108" t="e">
        <f>'АПП БАЗ (0)'!#REF!*1000</f>
        <v>#REF!</v>
      </c>
      <c r="AA25" s="109">
        <v>27364</v>
      </c>
      <c r="AB25" s="108">
        <v>17558931.52</v>
      </c>
      <c r="AC25" s="128">
        <v>17346.356</v>
      </c>
      <c r="AD25" s="129">
        <v>6828000</v>
      </c>
      <c r="AE25" s="128">
        <v>13032.057000000001</v>
      </c>
      <c r="AF25" s="129">
        <v>4982000</v>
      </c>
      <c r="AG25" s="128">
        <v>4046.2809999999999</v>
      </c>
      <c r="AH25" s="129">
        <v>264000</v>
      </c>
      <c r="AI25" s="139" t="e">
        <f t="shared" si="4"/>
        <v>#REF!</v>
      </c>
      <c r="AJ25" s="106" t="e">
        <f t="shared" si="1"/>
        <v>#REF!</v>
      </c>
      <c r="AK25" s="188" t="e">
        <f t="shared" si="2"/>
        <v>#REF!</v>
      </c>
      <c r="AM25" s="192" t="e">
        <f t="shared" si="5"/>
        <v>#REF!</v>
      </c>
      <c r="AN25" s="211">
        <f>VLOOKUP(B25,'АПП БАЗ (0)'!$B$8:$Y$72,14,FALSE)*1000</f>
        <v>0</v>
      </c>
      <c r="AO25" s="197">
        <v>2977683.45</v>
      </c>
      <c r="AQ25" s="124" t="e">
        <f t="shared" si="0"/>
        <v>#REF!</v>
      </c>
      <c r="AR25" s="104">
        <v>4881666.5220638812</v>
      </c>
    </row>
    <row r="26" spans="1:44" ht="17.25" customHeight="1" x14ac:dyDescent="0.25">
      <c r="A26" s="107">
        <v>23</v>
      </c>
      <c r="B26" s="111">
        <v>390230</v>
      </c>
      <c r="C26" s="112" t="s">
        <v>33</v>
      </c>
      <c r="D26" s="132" t="e">
        <f>G26+I26+K26+M26+AO26</f>
        <v>#REF!</v>
      </c>
      <c r="E26" s="135">
        <v>6088043.7999999998</v>
      </c>
      <c r="F26" s="120">
        <v>42746</v>
      </c>
      <c r="G26" s="156" t="e">
        <f>#REF!-#REF!</f>
        <v>#REF!</v>
      </c>
      <c r="H26" s="120">
        <v>52796</v>
      </c>
      <c r="I26" s="156" t="e">
        <f>#REF!</f>
        <v>#REF!</v>
      </c>
      <c r="J26" s="120">
        <v>7862</v>
      </c>
      <c r="K26" s="121">
        <v>15754789.289999999</v>
      </c>
      <c r="L26" s="120">
        <v>8128</v>
      </c>
      <c r="M26" s="121">
        <v>18798485.32</v>
      </c>
      <c r="N26" s="109">
        <v>0</v>
      </c>
      <c r="O26" s="108">
        <v>0</v>
      </c>
      <c r="P26" s="128">
        <f t="shared" si="6"/>
        <v>0</v>
      </c>
      <c r="Q26" s="129">
        <f t="shared" si="7"/>
        <v>0</v>
      </c>
      <c r="R26" s="156">
        <v>0</v>
      </c>
      <c r="S26" s="120"/>
      <c r="T26" s="121"/>
      <c r="U26" s="109"/>
      <c r="V26" s="108">
        <f t="shared" si="8"/>
        <v>1157965.3432480097</v>
      </c>
      <c r="W26" s="109"/>
      <c r="X26" s="108"/>
      <c r="Y26" s="109">
        <v>965</v>
      </c>
      <c r="Z26" s="108" t="e">
        <f>'АПП БАЗ (0)'!#REF!*1000</f>
        <v>#REF!</v>
      </c>
      <c r="AA26" s="109">
        <v>11999</v>
      </c>
      <c r="AB26" s="108">
        <v>7699518.3200000003</v>
      </c>
      <c r="AC26" s="128">
        <v>9001.1779999999999</v>
      </c>
      <c r="AD26" s="129">
        <v>2815000</v>
      </c>
      <c r="AE26" s="128">
        <v>5372.7650000000003</v>
      </c>
      <c r="AF26" s="129">
        <v>4210000</v>
      </c>
      <c r="AG26" s="128">
        <v>3419.2779999999998</v>
      </c>
      <c r="AH26" s="129">
        <v>206000</v>
      </c>
      <c r="AI26" s="139" t="e">
        <f>Q26+R26+T26+V26+X26+Z26+AB26+AD26+AF26+AH26</f>
        <v>#REF!</v>
      </c>
      <c r="AJ26" s="106" t="e">
        <f>D26+E26+AI26</f>
        <v>#REF!</v>
      </c>
      <c r="AK26" s="188" t="e">
        <f t="shared" si="2"/>
        <v>#REF!</v>
      </c>
      <c r="AM26" s="192" t="e">
        <f t="shared" si="5"/>
        <v>#REF!</v>
      </c>
      <c r="AN26" s="211">
        <f>VLOOKUP(B26,'АПП БАЗ (0)'!$B$8:$Y$72,14,FALSE)*1000</f>
        <v>0</v>
      </c>
      <c r="AO26" s="197">
        <v>1229215.26</v>
      </c>
      <c r="AQ26" s="124" t="e">
        <f t="shared" si="0"/>
        <v>#REF!</v>
      </c>
      <c r="AR26" s="104">
        <v>1157965.3432480097</v>
      </c>
    </row>
    <row r="27" spans="1:44" ht="17.25" customHeight="1" x14ac:dyDescent="0.25">
      <c r="A27" s="107">
        <v>24</v>
      </c>
      <c r="B27" s="111">
        <v>390240</v>
      </c>
      <c r="C27" s="112" t="s">
        <v>34</v>
      </c>
      <c r="D27" s="132" t="e">
        <f t="shared" si="9"/>
        <v>#REF!</v>
      </c>
      <c r="E27" s="135">
        <v>14165442.029999999</v>
      </c>
      <c r="F27" s="120">
        <v>44170</v>
      </c>
      <c r="G27" s="156" t="e">
        <f>#REF!-#REF!</f>
        <v>#REF!</v>
      </c>
      <c r="H27" s="120">
        <v>54555</v>
      </c>
      <c r="I27" s="156" t="e">
        <f>#REF!</f>
        <v>#REF!</v>
      </c>
      <c r="J27" s="120">
        <v>8249</v>
      </c>
      <c r="K27" s="121">
        <v>16177718.33</v>
      </c>
      <c r="L27" s="120">
        <v>8660</v>
      </c>
      <c r="M27" s="121">
        <v>19868786.450000003</v>
      </c>
      <c r="N27" s="109">
        <v>0</v>
      </c>
      <c r="O27" s="108">
        <v>0</v>
      </c>
      <c r="P27" s="128">
        <f t="shared" si="6"/>
        <v>0</v>
      </c>
      <c r="Q27" s="129">
        <f t="shared" si="7"/>
        <v>0</v>
      </c>
      <c r="R27" s="156">
        <v>0</v>
      </c>
      <c r="S27" s="120"/>
      <c r="T27" s="121"/>
      <c r="U27" s="109"/>
      <c r="V27" s="108">
        <f t="shared" si="8"/>
        <v>1677955.7392640114</v>
      </c>
      <c r="W27" s="109"/>
      <c r="X27" s="108"/>
      <c r="Y27" s="109">
        <v>1521</v>
      </c>
      <c r="Z27" s="108" t="e">
        <f>'АПП БАЗ (0)'!#REF!*1000</f>
        <v>#REF!</v>
      </c>
      <c r="AA27" s="109">
        <v>12691</v>
      </c>
      <c r="AB27" s="108">
        <v>8143560.8799999999</v>
      </c>
      <c r="AC27" s="128">
        <v>6431.2400000000007</v>
      </c>
      <c r="AD27" s="129">
        <v>2395000</v>
      </c>
      <c r="AE27" s="128">
        <v>4571.1450000000004</v>
      </c>
      <c r="AF27" s="129">
        <v>2149000</v>
      </c>
      <c r="AG27" s="128">
        <v>1745.375</v>
      </c>
      <c r="AH27" s="129">
        <v>113000</v>
      </c>
      <c r="AI27" s="139" t="e">
        <f t="shared" si="4"/>
        <v>#REF!</v>
      </c>
      <c r="AJ27" s="106" t="e">
        <f t="shared" si="1"/>
        <v>#REF!</v>
      </c>
      <c r="AK27" s="188" t="e">
        <f t="shared" si="2"/>
        <v>#REF!</v>
      </c>
      <c r="AM27" s="192" t="e">
        <f t="shared" si="5"/>
        <v>#REF!</v>
      </c>
      <c r="AN27" s="211">
        <f>VLOOKUP(B27,'АПП БАЗ (0)'!$B$8:$Y$72,14,FALSE)*1000</f>
        <v>0</v>
      </c>
      <c r="AO27" s="197">
        <v>1355405.31</v>
      </c>
      <c r="AQ27" s="124" t="e">
        <f t="shared" si="0"/>
        <v>#REF!</v>
      </c>
      <c r="AR27" s="104">
        <v>1677955.7392640114</v>
      </c>
    </row>
    <row r="28" spans="1:44" ht="17.25" customHeight="1" x14ac:dyDescent="0.25">
      <c r="A28" s="113">
        <v>25</v>
      </c>
      <c r="B28" s="111">
        <v>390290</v>
      </c>
      <c r="C28" s="112" t="s">
        <v>35</v>
      </c>
      <c r="D28" s="132" t="e">
        <f t="shared" si="9"/>
        <v>#REF!</v>
      </c>
      <c r="E28" s="135">
        <v>6929813.1699999999</v>
      </c>
      <c r="F28" s="120">
        <v>14249</v>
      </c>
      <c r="G28" s="156" t="e">
        <f>#REF!-#REF!</f>
        <v>#REF!</v>
      </c>
      <c r="H28" s="120">
        <v>17599</v>
      </c>
      <c r="I28" s="156" t="e">
        <f>#REF!</f>
        <v>#REF!</v>
      </c>
      <c r="J28" s="120">
        <v>2666</v>
      </c>
      <c r="K28" s="121">
        <v>5479661.5899999999</v>
      </c>
      <c r="L28" s="120">
        <v>2677</v>
      </c>
      <c r="M28" s="121">
        <v>6247406.4700000007</v>
      </c>
      <c r="N28" s="109">
        <v>0</v>
      </c>
      <c r="O28" s="108">
        <v>0</v>
      </c>
      <c r="P28" s="128">
        <f t="shared" si="6"/>
        <v>0</v>
      </c>
      <c r="Q28" s="129">
        <f t="shared" si="7"/>
        <v>0</v>
      </c>
      <c r="R28" s="156">
        <v>0</v>
      </c>
      <c r="S28" s="120"/>
      <c r="T28" s="121"/>
      <c r="U28" s="109"/>
      <c r="V28" s="108">
        <f t="shared" si="8"/>
        <v>598762.64158400148</v>
      </c>
      <c r="W28" s="109"/>
      <c r="X28" s="108"/>
      <c r="Y28" s="109">
        <v>569</v>
      </c>
      <c r="Z28" s="108" t="e">
        <f>'АПП БАЗ (0)'!#REF!*1000</f>
        <v>#REF!</v>
      </c>
      <c r="AA28" s="109">
        <v>3986</v>
      </c>
      <c r="AB28" s="108">
        <v>2557736.48</v>
      </c>
      <c r="AC28" s="128">
        <v>1942.9359999999999</v>
      </c>
      <c r="AD28" s="129">
        <v>775000</v>
      </c>
      <c r="AE28" s="128">
        <v>1479.181</v>
      </c>
      <c r="AF28" s="129">
        <v>521000</v>
      </c>
      <c r="AG28" s="128">
        <v>423.14600000000002</v>
      </c>
      <c r="AH28" s="129">
        <v>40000</v>
      </c>
      <c r="AI28" s="139" t="e">
        <f t="shared" si="4"/>
        <v>#REF!</v>
      </c>
      <c r="AJ28" s="106" t="e">
        <f t="shared" si="1"/>
        <v>#REF!</v>
      </c>
      <c r="AK28" s="188" t="e">
        <f t="shared" si="2"/>
        <v>#REF!</v>
      </c>
      <c r="AM28" s="192" t="e">
        <f t="shared" si="5"/>
        <v>#REF!</v>
      </c>
      <c r="AN28" s="211">
        <f>VLOOKUP(B28,'АПП БАЗ (0)'!$B$8:$Y$72,14,FALSE)*1000</f>
        <v>0</v>
      </c>
      <c r="AO28" s="197">
        <v>413911.68</v>
      </c>
      <c r="AQ28" s="124" t="e">
        <f t="shared" si="0"/>
        <v>#REF!</v>
      </c>
      <c r="AR28" s="104">
        <v>598762.64158400148</v>
      </c>
    </row>
    <row r="29" spans="1:44" ht="17.25" customHeight="1" x14ac:dyDescent="0.25">
      <c r="A29" s="107">
        <v>26</v>
      </c>
      <c r="B29" s="111">
        <v>390380</v>
      </c>
      <c r="C29" s="112" t="s">
        <v>36</v>
      </c>
      <c r="D29" s="132" t="e">
        <f t="shared" si="9"/>
        <v>#REF!</v>
      </c>
      <c r="E29" s="135"/>
      <c r="F29" s="120">
        <v>8549</v>
      </c>
      <c r="G29" s="156" t="e">
        <f>#REF!-#REF!</f>
        <v>#REF!</v>
      </c>
      <c r="H29" s="120">
        <v>10559</v>
      </c>
      <c r="I29" s="156" t="e">
        <f>#REF!</f>
        <v>#REF!</v>
      </c>
      <c r="J29" s="120">
        <v>1477</v>
      </c>
      <c r="K29" s="121">
        <v>2804014.1700000004</v>
      </c>
      <c r="L29" s="120">
        <v>1685</v>
      </c>
      <c r="M29" s="121">
        <v>3718371.1700000004</v>
      </c>
      <c r="N29" s="109">
        <v>0</v>
      </c>
      <c r="O29" s="108">
        <v>0</v>
      </c>
      <c r="P29" s="128">
        <f t="shared" si="6"/>
        <v>0</v>
      </c>
      <c r="Q29" s="129">
        <f t="shared" si="7"/>
        <v>0</v>
      </c>
      <c r="R29" s="121"/>
      <c r="S29" s="120"/>
      <c r="T29" s="121"/>
      <c r="U29" s="109"/>
      <c r="V29" s="108">
        <f t="shared" si="8"/>
        <v>243989.33804799989</v>
      </c>
      <c r="W29" s="109"/>
      <c r="X29" s="108"/>
      <c r="Y29" s="109">
        <v>377</v>
      </c>
      <c r="Z29" s="108" t="e">
        <f>'АПП БАЗ (0)'!#REF!*1000</f>
        <v>#REF!</v>
      </c>
      <c r="AA29" s="109">
        <v>2441</v>
      </c>
      <c r="AB29" s="108">
        <v>1567255.6</v>
      </c>
      <c r="AC29" s="128">
        <v>773.88499999999999</v>
      </c>
      <c r="AD29" s="129">
        <v>301000</v>
      </c>
      <c r="AE29" s="128">
        <v>574.495</v>
      </c>
      <c r="AF29" s="129">
        <v>223000</v>
      </c>
      <c r="AG29" s="128">
        <v>181.11600000000001</v>
      </c>
      <c r="AH29" s="129">
        <v>18000</v>
      </c>
      <c r="AI29" s="139" t="e">
        <f t="shared" si="4"/>
        <v>#REF!</v>
      </c>
      <c r="AJ29" s="106" t="e">
        <f t="shared" si="1"/>
        <v>#REF!</v>
      </c>
      <c r="AK29" s="188" t="e">
        <f t="shared" si="2"/>
        <v>#REF!</v>
      </c>
      <c r="AM29" s="192" t="e">
        <f t="shared" si="5"/>
        <v>#REF!</v>
      </c>
      <c r="AN29" s="211">
        <f>VLOOKUP(B29,'АПП БАЗ (0)'!$B$8:$Y$72,14,FALSE)*1000</f>
        <v>0</v>
      </c>
      <c r="AO29" s="197">
        <v>265010.62</v>
      </c>
      <c r="AQ29" s="124" t="e">
        <f t="shared" si="0"/>
        <v>#REF!</v>
      </c>
      <c r="AR29" s="104">
        <v>243989.33804799989</v>
      </c>
    </row>
    <row r="30" spans="1:44" ht="17.25" customHeight="1" x14ac:dyDescent="0.25">
      <c r="A30" s="107">
        <v>27</v>
      </c>
      <c r="B30" s="111">
        <v>390370</v>
      </c>
      <c r="C30" s="112" t="s">
        <v>37</v>
      </c>
      <c r="D30" s="132" t="e">
        <f t="shared" si="9"/>
        <v>#REF!</v>
      </c>
      <c r="E30" s="135"/>
      <c r="F30" s="120">
        <v>14249</v>
      </c>
      <c r="G30" s="156" t="e">
        <f>#REF!-#REF!</f>
        <v>#REF!</v>
      </c>
      <c r="H30" s="120">
        <v>17599</v>
      </c>
      <c r="I30" s="156" t="e">
        <f>#REF!</f>
        <v>#REF!</v>
      </c>
      <c r="J30" s="120">
        <v>2751</v>
      </c>
      <c r="K30" s="121">
        <v>5549212.6699999999</v>
      </c>
      <c r="L30" s="120">
        <v>2723</v>
      </c>
      <c r="M30" s="121">
        <v>6116228.8499999996</v>
      </c>
      <c r="N30" s="109">
        <v>0</v>
      </c>
      <c r="O30" s="108">
        <v>0</v>
      </c>
      <c r="P30" s="128">
        <f t="shared" si="6"/>
        <v>0</v>
      </c>
      <c r="Q30" s="129">
        <f t="shared" si="7"/>
        <v>0</v>
      </c>
      <c r="R30" s="156">
        <v>0</v>
      </c>
      <c r="S30" s="120"/>
      <c r="T30" s="121"/>
      <c r="U30" s="109"/>
      <c r="V30" s="108">
        <f t="shared" si="8"/>
        <v>534730.42158400267</v>
      </c>
      <c r="W30" s="109"/>
      <c r="X30" s="108"/>
      <c r="Y30" s="109">
        <v>543</v>
      </c>
      <c r="Z30" s="108" t="e">
        <f>'АПП БАЗ (0)'!#REF!*1000</f>
        <v>#REF!</v>
      </c>
      <c r="AA30" s="109">
        <v>4149</v>
      </c>
      <c r="AB30" s="108">
        <v>2662330.3199999998</v>
      </c>
      <c r="AC30" s="128">
        <v>1867.3219999999999</v>
      </c>
      <c r="AD30" s="129">
        <v>619000</v>
      </c>
      <c r="AE30" s="128">
        <v>1181.4359999999999</v>
      </c>
      <c r="AF30" s="129">
        <v>767000</v>
      </c>
      <c r="AG30" s="128">
        <v>622.94200000000001</v>
      </c>
      <c r="AH30" s="129">
        <v>62000</v>
      </c>
      <c r="AI30" s="139" t="e">
        <f t="shared" si="4"/>
        <v>#REF!</v>
      </c>
      <c r="AJ30" s="106" t="e">
        <f t="shared" si="1"/>
        <v>#REF!</v>
      </c>
      <c r="AK30" s="188" t="e">
        <f t="shared" si="2"/>
        <v>#REF!</v>
      </c>
      <c r="AM30" s="192" t="e">
        <f t="shared" si="5"/>
        <v>#REF!</v>
      </c>
      <c r="AN30" s="211">
        <f>VLOOKUP(B30,'АПП БАЗ (0)'!$B$8:$Y$72,14,FALSE)*1000</f>
        <v>0</v>
      </c>
      <c r="AO30" s="197">
        <v>453434.88</v>
      </c>
      <c r="AQ30" s="124" t="e">
        <f t="shared" si="0"/>
        <v>#REF!</v>
      </c>
      <c r="AR30" s="104">
        <v>534730.42158400267</v>
      </c>
    </row>
    <row r="31" spans="1:44" ht="17.25" customHeight="1" x14ac:dyDescent="0.25">
      <c r="A31" s="113">
        <v>28</v>
      </c>
      <c r="B31" s="111">
        <v>390480</v>
      </c>
      <c r="C31" s="112" t="s">
        <v>96</v>
      </c>
      <c r="D31" s="132" t="e">
        <f t="shared" si="9"/>
        <v>#REF!</v>
      </c>
      <c r="E31" s="135">
        <v>735573.59</v>
      </c>
      <c r="F31" s="120">
        <v>49870</v>
      </c>
      <c r="G31" s="156" t="e">
        <f>#REF!-#REF!</f>
        <v>#REF!</v>
      </c>
      <c r="H31" s="120">
        <v>61595</v>
      </c>
      <c r="I31" s="156" t="e">
        <f>#REF!</f>
        <v>#REF!</v>
      </c>
      <c r="J31" s="120">
        <v>8936</v>
      </c>
      <c r="K31" s="121">
        <v>17603619.25</v>
      </c>
      <c r="L31" s="120">
        <v>10065</v>
      </c>
      <c r="M31" s="121">
        <v>22665598.25</v>
      </c>
      <c r="N31" s="109">
        <v>0</v>
      </c>
      <c r="O31" s="108">
        <v>0</v>
      </c>
      <c r="P31" s="128">
        <f t="shared" si="6"/>
        <v>0</v>
      </c>
      <c r="Q31" s="129">
        <f t="shared" si="7"/>
        <v>0</v>
      </c>
      <c r="R31" s="156">
        <v>0</v>
      </c>
      <c r="S31" s="120"/>
      <c r="T31" s="121"/>
      <c r="U31" s="109"/>
      <c r="V31" s="108">
        <f t="shared" si="8"/>
        <v>2029260.6812959909</v>
      </c>
      <c r="W31" s="109"/>
      <c r="X31" s="108"/>
      <c r="Y31" s="109">
        <v>1303</v>
      </c>
      <c r="Z31" s="108" t="e">
        <f>'АПП БАЗ (0)'!#REF!*1000</f>
        <v>#REF!</v>
      </c>
      <c r="AA31" s="109">
        <v>14348</v>
      </c>
      <c r="AB31" s="108">
        <v>9206824.6400000006</v>
      </c>
      <c r="AC31" s="128">
        <v>11668.213</v>
      </c>
      <c r="AD31" s="129">
        <v>3698000</v>
      </c>
      <c r="AE31" s="128">
        <v>7058.0770000000002</v>
      </c>
      <c r="AF31" s="129">
        <v>5405000</v>
      </c>
      <c r="AG31" s="128">
        <v>4389.8329999999996</v>
      </c>
      <c r="AH31" s="129">
        <v>217000</v>
      </c>
      <c r="AI31" s="139" t="e">
        <f t="shared" si="4"/>
        <v>#REF!</v>
      </c>
      <c r="AJ31" s="106" t="e">
        <f t="shared" si="1"/>
        <v>#REF!</v>
      </c>
      <c r="AK31" s="188" t="e">
        <f t="shared" si="2"/>
        <v>#REF!</v>
      </c>
      <c r="AM31" s="192" t="e">
        <f t="shared" si="5"/>
        <v>#REF!</v>
      </c>
      <c r="AN31" s="211">
        <f>VLOOKUP(B31,'АПП БАЗ (0)'!$B$8:$Y$72,14,FALSE)*1000</f>
        <v>0</v>
      </c>
      <c r="AO31" s="197">
        <v>1544773.4</v>
      </c>
      <c r="AQ31" s="124" t="e">
        <f t="shared" si="0"/>
        <v>#REF!</v>
      </c>
      <c r="AR31" s="104">
        <v>2029260.6812959909</v>
      </c>
    </row>
    <row r="32" spans="1:44" ht="17.25" customHeight="1" x14ac:dyDescent="0.25">
      <c r="A32" s="107">
        <v>29</v>
      </c>
      <c r="B32" s="111">
        <v>390260</v>
      </c>
      <c r="C32" s="112" t="s">
        <v>38</v>
      </c>
      <c r="D32" s="132" t="e">
        <f t="shared" si="9"/>
        <v>#REF!</v>
      </c>
      <c r="E32" s="135">
        <v>6823617.3899999997</v>
      </c>
      <c r="F32" s="120">
        <v>22798</v>
      </c>
      <c r="G32" s="156" t="e">
        <f>#REF!-#REF!</f>
        <v>#REF!</v>
      </c>
      <c r="H32" s="120">
        <v>28158</v>
      </c>
      <c r="I32" s="156" t="e">
        <f>#REF!</f>
        <v>#REF!</v>
      </c>
      <c r="J32" s="120">
        <v>4368</v>
      </c>
      <c r="K32" s="121">
        <v>8739263.5600000005</v>
      </c>
      <c r="L32" s="120">
        <v>4486</v>
      </c>
      <c r="M32" s="121">
        <v>10111520.289999997</v>
      </c>
      <c r="N32" s="109">
        <v>0</v>
      </c>
      <c r="O32" s="108">
        <v>0</v>
      </c>
      <c r="P32" s="128">
        <f t="shared" si="6"/>
        <v>0</v>
      </c>
      <c r="Q32" s="129">
        <f t="shared" si="7"/>
        <v>0</v>
      </c>
      <c r="R32" s="121"/>
      <c r="S32" s="120"/>
      <c r="T32" s="121"/>
      <c r="U32" s="109"/>
      <c r="V32" s="108">
        <f t="shared" si="8"/>
        <v>866630.8011360094</v>
      </c>
      <c r="W32" s="109"/>
      <c r="X32" s="108"/>
      <c r="Y32" s="109">
        <v>760</v>
      </c>
      <c r="Z32" s="108" t="e">
        <f>'АПП БАЗ (0)'!#REF!*1000</f>
        <v>#REF!</v>
      </c>
      <c r="AA32" s="109">
        <v>6630</v>
      </c>
      <c r="AB32" s="108">
        <v>4254338.4000000004</v>
      </c>
      <c r="AC32" s="128">
        <v>3951.7380000000003</v>
      </c>
      <c r="AD32" s="129">
        <v>1511000</v>
      </c>
      <c r="AE32" s="128">
        <v>2883.9250000000002</v>
      </c>
      <c r="AF32" s="129">
        <v>1171000</v>
      </c>
      <c r="AG32" s="128">
        <v>951.06299999999999</v>
      </c>
      <c r="AH32" s="129">
        <v>115000</v>
      </c>
      <c r="AI32" s="139" t="e">
        <f t="shared" si="4"/>
        <v>#REF!</v>
      </c>
      <c r="AJ32" s="106" t="e">
        <f t="shared" si="1"/>
        <v>#REF!</v>
      </c>
      <c r="AK32" s="188" t="e">
        <f t="shared" si="2"/>
        <v>#REF!</v>
      </c>
      <c r="AM32" s="192" t="e">
        <f t="shared" si="5"/>
        <v>#REF!</v>
      </c>
      <c r="AN32" s="211">
        <f>VLOOKUP(B32,'АПП БАЗ (0)'!$B$8:$Y$72,14,FALSE)*1000</f>
        <v>0</v>
      </c>
      <c r="AO32" s="197">
        <v>715875.57000000007</v>
      </c>
      <c r="AQ32" s="124" t="e">
        <f t="shared" si="0"/>
        <v>#REF!</v>
      </c>
      <c r="AR32" s="104">
        <v>866630.8011360094</v>
      </c>
    </row>
    <row r="33" spans="1:44" ht="17.25" customHeight="1" x14ac:dyDescent="0.25">
      <c r="A33" s="107">
        <v>30</v>
      </c>
      <c r="B33" s="111">
        <v>390250</v>
      </c>
      <c r="C33" s="112" t="s">
        <v>39</v>
      </c>
      <c r="D33" s="132" t="e">
        <f t="shared" si="9"/>
        <v>#REF!</v>
      </c>
      <c r="E33" s="157">
        <v>10378889.74</v>
      </c>
      <c r="F33" s="120">
        <v>17098</v>
      </c>
      <c r="G33" s="156" t="e">
        <f>#REF!-#REF!</f>
        <v>#REF!</v>
      </c>
      <c r="H33" s="120">
        <v>21118</v>
      </c>
      <c r="I33" s="156" t="e">
        <f>#REF!</f>
        <v>#REF!</v>
      </c>
      <c r="J33" s="120">
        <v>3225</v>
      </c>
      <c r="K33" s="121">
        <v>6426091.6800000006</v>
      </c>
      <c r="L33" s="120">
        <v>3356</v>
      </c>
      <c r="M33" s="121">
        <v>7821208.009999997</v>
      </c>
      <c r="N33" s="109">
        <v>0</v>
      </c>
      <c r="O33" s="108">
        <v>0</v>
      </c>
      <c r="P33" s="128">
        <f t="shared" si="6"/>
        <v>0</v>
      </c>
      <c r="Q33" s="129">
        <f t="shared" si="7"/>
        <v>0</v>
      </c>
      <c r="R33" s="156">
        <v>0</v>
      </c>
      <c r="S33" s="120"/>
      <c r="T33" s="121"/>
      <c r="U33" s="109"/>
      <c r="V33" s="108">
        <f t="shared" si="8"/>
        <v>706666.95760001242</v>
      </c>
      <c r="W33" s="109"/>
      <c r="X33" s="108"/>
      <c r="Y33" s="109">
        <v>534</v>
      </c>
      <c r="Z33" s="108" t="e">
        <f>'АПП БАЗ (0)'!#REF!*1000</f>
        <v>#REF!</v>
      </c>
      <c r="AA33" s="109">
        <v>4922</v>
      </c>
      <c r="AB33" s="108">
        <v>3158348.96</v>
      </c>
      <c r="AC33" s="128">
        <v>1561.8210000000001</v>
      </c>
      <c r="AD33" s="129">
        <v>550000</v>
      </c>
      <c r="AE33" s="128">
        <v>1049.741</v>
      </c>
      <c r="AF33" s="129">
        <v>593000</v>
      </c>
      <c r="AG33" s="128">
        <v>481.62299999999999</v>
      </c>
      <c r="AH33" s="129">
        <v>30000</v>
      </c>
      <c r="AI33" s="139" t="e">
        <f t="shared" si="4"/>
        <v>#REF!</v>
      </c>
      <c r="AJ33" s="106" t="e">
        <f t="shared" si="1"/>
        <v>#REF!</v>
      </c>
      <c r="AK33" s="188" t="e">
        <f t="shared" si="2"/>
        <v>#REF!</v>
      </c>
      <c r="AM33" s="192" t="e">
        <f t="shared" si="5"/>
        <v>#REF!</v>
      </c>
      <c r="AN33" s="211">
        <f>VLOOKUP(B33,'АПП БАЗ (0)'!$B$8:$Y$72,14,FALSE)*1000</f>
        <v>0</v>
      </c>
      <c r="AO33" s="197">
        <v>526355.05999999994</v>
      </c>
      <c r="AQ33" s="124" t="e">
        <f t="shared" si="0"/>
        <v>#REF!</v>
      </c>
      <c r="AR33" s="104">
        <v>706666.95760001242</v>
      </c>
    </row>
    <row r="34" spans="1:44" ht="17.25" customHeight="1" x14ac:dyDescent="0.25">
      <c r="A34" s="113">
        <v>31</v>
      </c>
      <c r="B34" s="111">
        <v>390300</v>
      </c>
      <c r="C34" s="112" t="s">
        <v>40</v>
      </c>
      <c r="D34" s="132" t="e">
        <f t="shared" si="9"/>
        <v>#REF!</v>
      </c>
      <c r="E34" s="135">
        <v>11101168.970000001</v>
      </c>
      <c r="F34" s="120">
        <v>15673</v>
      </c>
      <c r="G34" s="156" t="e">
        <f>#REF!-#REF!</f>
        <v>#REF!</v>
      </c>
      <c r="H34" s="120">
        <v>19358</v>
      </c>
      <c r="I34" s="156" t="e">
        <f>#REF!</f>
        <v>#REF!</v>
      </c>
      <c r="J34" s="120">
        <v>3265</v>
      </c>
      <c r="K34" s="121">
        <v>6380104.4799999995</v>
      </c>
      <c r="L34" s="120">
        <v>3063</v>
      </c>
      <c r="M34" s="121">
        <v>7221939.2199999988</v>
      </c>
      <c r="N34" s="109">
        <v>0</v>
      </c>
      <c r="O34" s="108">
        <v>0</v>
      </c>
      <c r="P34" s="128">
        <f t="shared" si="6"/>
        <v>0</v>
      </c>
      <c r="Q34" s="129">
        <f t="shared" si="7"/>
        <v>0</v>
      </c>
      <c r="R34" s="156">
        <v>0</v>
      </c>
      <c r="S34" s="120"/>
      <c r="T34" s="121"/>
      <c r="U34" s="109"/>
      <c r="V34" s="108">
        <f t="shared" si="8"/>
        <v>263817.99609600008</v>
      </c>
      <c r="W34" s="109"/>
      <c r="X34" s="108"/>
      <c r="Y34" s="109">
        <v>543</v>
      </c>
      <c r="Z34" s="108" t="e">
        <f>'АПП БАЗ (0)'!#REF!*1000</f>
        <v>#REF!</v>
      </c>
      <c r="AA34" s="109">
        <v>4637</v>
      </c>
      <c r="AB34" s="108">
        <v>2975470.16</v>
      </c>
      <c r="AC34" s="128">
        <v>2149.837</v>
      </c>
      <c r="AD34" s="129">
        <v>855000</v>
      </c>
      <c r="AE34" s="128">
        <v>1631.87</v>
      </c>
      <c r="AF34" s="129">
        <v>579000</v>
      </c>
      <c r="AG34" s="128">
        <v>470.25200000000001</v>
      </c>
      <c r="AH34" s="129">
        <v>47000</v>
      </c>
      <c r="AI34" s="139" t="e">
        <f t="shared" si="4"/>
        <v>#REF!</v>
      </c>
      <c r="AJ34" s="106" t="e">
        <f t="shared" si="1"/>
        <v>#REF!</v>
      </c>
      <c r="AK34" s="188" t="e">
        <f t="shared" si="2"/>
        <v>#REF!</v>
      </c>
      <c r="AM34" s="192" t="e">
        <f t="shared" si="5"/>
        <v>#REF!</v>
      </c>
      <c r="AN34" s="211">
        <f>VLOOKUP(B34,'АПП БАЗ (0)'!$B$8:$Y$72,14,FALSE)*1000</f>
        <v>0</v>
      </c>
      <c r="AO34" s="197">
        <v>491616.57999999996</v>
      </c>
      <c r="AQ34" s="124" t="e">
        <f t="shared" si="0"/>
        <v>#REF!</v>
      </c>
      <c r="AR34" s="104">
        <v>263817.99609600008</v>
      </c>
    </row>
    <row r="35" spans="1:44" ht="17.25" customHeight="1" x14ac:dyDescent="0.25">
      <c r="A35" s="107">
        <v>32</v>
      </c>
      <c r="B35" s="111">
        <v>390310</v>
      </c>
      <c r="C35" s="112" t="s">
        <v>117</v>
      </c>
      <c r="D35" s="132" t="e">
        <f t="shared" si="9"/>
        <v>#REF!</v>
      </c>
      <c r="E35" s="135">
        <v>7452741.9500000002</v>
      </c>
      <c r="F35" s="120">
        <v>22798</v>
      </c>
      <c r="G35" s="156" t="e">
        <f>#REF!-#REF!</f>
        <v>#REF!</v>
      </c>
      <c r="H35" s="120">
        <v>28158</v>
      </c>
      <c r="I35" s="156" t="e">
        <f>#REF!</f>
        <v>#REF!</v>
      </c>
      <c r="J35" s="120">
        <v>4407</v>
      </c>
      <c r="K35" s="121">
        <v>8769316.5700000003</v>
      </c>
      <c r="L35" s="120">
        <v>4368</v>
      </c>
      <c r="M35" s="121">
        <v>9843699.9300000034</v>
      </c>
      <c r="N35" s="109">
        <v>0</v>
      </c>
      <c r="O35" s="108">
        <v>0</v>
      </c>
      <c r="P35" s="128">
        <f t="shared" si="6"/>
        <v>0</v>
      </c>
      <c r="Q35" s="129">
        <f t="shared" si="7"/>
        <v>0</v>
      </c>
      <c r="R35" s="121"/>
      <c r="S35" s="120"/>
      <c r="T35" s="121"/>
      <c r="U35" s="109"/>
      <c r="V35" s="108">
        <f t="shared" si="8"/>
        <v>934108.84264000505</v>
      </c>
      <c r="W35" s="109"/>
      <c r="X35" s="108"/>
      <c r="Y35" s="109">
        <v>435</v>
      </c>
      <c r="Z35" s="108" t="e">
        <f>'АПП БАЗ (0)'!#REF!*1000</f>
        <v>#REF!</v>
      </c>
      <c r="AA35" s="109">
        <v>6711</v>
      </c>
      <c r="AB35" s="108">
        <v>4306314.4800000004</v>
      </c>
      <c r="AC35" s="128">
        <v>4829.3380000000006</v>
      </c>
      <c r="AD35" s="129">
        <v>1919000</v>
      </c>
      <c r="AE35" s="128">
        <v>3662.6419999999998</v>
      </c>
      <c r="AF35" s="129">
        <v>1304000</v>
      </c>
      <c r="AG35" s="128">
        <v>1059.0830000000001</v>
      </c>
      <c r="AH35" s="129">
        <v>106000</v>
      </c>
      <c r="AI35" s="139" t="e">
        <f t="shared" si="4"/>
        <v>#REF!</v>
      </c>
      <c r="AJ35" s="106" t="e">
        <f t="shared" si="1"/>
        <v>#REF!</v>
      </c>
      <c r="AK35" s="188" t="e">
        <f t="shared" si="2"/>
        <v>#REF!</v>
      </c>
      <c r="AM35" s="192" t="e">
        <f t="shared" si="5"/>
        <v>#REF!</v>
      </c>
      <c r="AN35" s="211">
        <f>VLOOKUP(B35,'АПП БАЗ (0)'!$B$8:$Y$72,14,FALSE)*1000</f>
        <v>0</v>
      </c>
      <c r="AO35" s="197">
        <v>696106.38</v>
      </c>
      <c r="AQ35" s="124" t="e">
        <f t="shared" si="0"/>
        <v>#REF!</v>
      </c>
      <c r="AR35" s="104">
        <v>934108.84264000505</v>
      </c>
    </row>
    <row r="36" spans="1:44" ht="17.25" customHeight="1" x14ac:dyDescent="0.25">
      <c r="A36" s="107">
        <v>33</v>
      </c>
      <c r="B36" s="111">
        <v>390320</v>
      </c>
      <c r="C36" s="112" t="s">
        <v>102</v>
      </c>
      <c r="D36" s="132" t="e">
        <f t="shared" si="9"/>
        <v>#REF!</v>
      </c>
      <c r="E36" s="135">
        <v>10017313.85</v>
      </c>
      <c r="F36" s="120">
        <v>22798</v>
      </c>
      <c r="G36" s="156" t="e">
        <f>#REF!-#REF!</f>
        <v>#REF!</v>
      </c>
      <c r="H36" s="120">
        <v>28158</v>
      </c>
      <c r="I36" s="156" t="e">
        <f>#REF!</f>
        <v>#REF!</v>
      </c>
      <c r="J36" s="120">
        <v>4486</v>
      </c>
      <c r="K36" s="121">
        <v>8846505.4000000004</v>
      </c>
      <c r="L36" s="120">
        <v>4426</v>
      </c>
      <c r="M36" s="121">
        <v>10515734.600000001</v>
      </c>
      <c r="N36" s="109">
        <v>0</v>
      </c>
      <c r="O36" s="108">
        <v>0</v>
      </c>
      <c r="P36" s="128">
        <f t="shared" si="6"/>
        <v>0</v>
      </c>
      <c r="Q36" s="129">
        <f t="shared" si="7"/>
        <v>0</v>
      </c>
      <c r="R36" s="156">
        <v>0</v>
      </c>
      <c r="S36" s="120"/>
      <c r="T36" s="121"/>
      <c r="U36" s="109"/>
      <c r="V36" s="108">
        <f t="shared" si="8"/>
        <v>824379.4811360091</v>
      </c>
      <c r="W36" s="109"/>
      <c r="X36" s="108"/>
      <c r="Y36" s="109">
        <v>393</v>
      </c>
      <c r="Z36" s="108" t="e">
        <f>'АПП БАЗ (0)'!#REF!*1000</f>
        <v>#REF!</v>
      </c>
      <c r="AA36" s="109">
        <v>6630</v>
      </c>
      <c r="AB36" s="108">
        <v>4254338.4000000004</v>
      </c>
      <c r="AC36" s="128">
        <v>3872.511</v>
      </c>
      <c r="AD36" s="129">
        <v>1098000</v>
      </c>
      <c r="AE36" s="128">
        <v>2095.665</v>
      </c>
      <c r="AF36" s="129">
        <v>2049000</v>
      </c>
      <c r="AG36" s="128">
        <v>1664.1569999999999</v>
      </c>
      <c r="AH36" s="129">
        <v>111000</v>
      </c>
      <c r="AI36" s="139" t="e">
        <f t="shared" si="4"/>
        <v>#REF!</v>
      </c>
      <c r="AJ36" s="106" t="e">
        <f t="shared" si="1"/>
        <v>#REF!</v>
      </c>
      <c r="AK36" s="188" t="e">
        <f t="shared" si="2"/>
        <v>#REF!</v>
      </c>
      <c r="AM36" s="192" t="e">
        <f t="shared" si="5"/>
        <v>#REF!</v>
      </c>
      <c r="AN36" s="211">
        <f>VLOOKUP(B36,'АПП БАЗ (0)'!$B$8:$Y$72,14,FALSE)*1000</f>
        <v>0</v>
      </c>
      <c r="AO36" s="197">
        <v>707018.66999999993</v>
      </c>
      <c r="AQ36" s="124" t="e">
        <f t="shared" si="0"/>
        <v>#REF!</v>
      </c>
      <c r="AR36" s="104">
        <v>824379.4811360091</v>
      </c>
    </row>
    <row r="37" spans="1:44" ht="17.25" customHeight="1" x14ac:dyDescent="0.25">
      <c r="A37" s="113">
        <v>34</v>
      </c>
      <c r="B37" s="111">
        <v>390180</v>
      </c>
      <c r="C37" s="112" t="s">
        <v>43</v>
      </c>
      <c r="D37" s="132" t="e">
        <f t="shared" si="9"/>
        <v>#REF!</v>
      </c>
      <c r="E37" s="135">
        <v>1606783.9</v>
      </c>
      <c r="F37" s="120">
        <v>39896</v>
      </c>
      <c r="G37" s="156" t="e">
        <f>#REF!-#REF!</f>
        <v>#REF!</v>
      </c>
      <c r="H37" s="120">
        <v>49276</v>
      </c>
      <c r="I37" s="156" t="e">
        <f>#REF!</f>
        <v>#REF!</v>
      </c>
      <c r="J37" s="120">
        <v>6813</v>
      </c>
      <c r="K37" s="121">
        <v>13147590.990000002</v>
      </c>
      <c r="L37" s="120">
        <v>7637</v>
      </c>
      <c r="M37" s="121">
        <v>16941214.029999994</v>
      </c>
      <c r="N37" s="109">
        <v>0</v>
      </c>
      <c r="O37" s="108">
        <v>0</v>
      </c>
      <c r="P37" s="128">
        <f t="shared" si="6"/>
        <v>0</v>
      </c>
      <c r="Q37" s="129">
        <f t="shared" si="7"/>
        <v>0</v>
      </c>
      <c r="R37" s="156">
        <v>0</v>
      </c>
      <c r="S37" s="120"/>
      <c r="T37" s="121"/>
      <c r="U37" s="109"/>
      <c r="V37" s="108">
        <f t="shared" si="8"/>
        <v>1679493.5972319841</v>
      </c>
      <c r="W37" s="109"/>
      <c r="X37" s="108"/>
      <c r="Y37" s="109">
        <v>1805</v>
      </c>
      <c r="Z37" s="108" t="e">
        <f>'АПП БАЗ (0)'!#REF!*1000</f>
        <v>#REF!</v>
      </c>
      <c r="AA37" s="109">
        <v>11226</v>
      </c>
      <c r="AB37" s="108">
        <v>7203499.6799999997</v>
      </c>
      <c r="AC37" s="128">
        <v>12118.806</v>
      </c>
      <c r="AD37" s="129">
        <v>4726000</v>
      </c>
      <c r="AE37" s="128">
        <v>9020.1380000000008</v>
      </c>
      <c r="AF37" s="129">
        <v>3469000</v>
      </c>
      <c r="AG37" s="128">
        <v>2817.4520000000002</v>
      </c>
      <c r="AH37" s="129">
        <v>277000</v>
      </c>
      <c r="AI37" s="139" t="e">
        <f t="shared" si="4"/>
        <v>#REF!</v>
      </c>
      <c r="AJ37" s="106" t="e">
        <f t="shared" si="1"/>
        <v>#REF!</v>
      </c>
      <c r="AK37" s="188" t="e">
        <f t="shared" si="2"/>
        <v>#REF!</v>
      </c>
      <c r="AM37" s="192" t="e">
        <f t="shared" si="5"/>
        <v>#REF!</v>
      </c>
      <c r="AN37" s="211">
        <f>VLOOKUP(B37,'АПП БАЗ (0)'!$B$8:$Y$72,14,FALSE)*1000</f>
        <v>0</v>
      </c>
      <c r="AO37" s="197">
        <v>1130582.3999999999</v>
      </c>
      <c r="AQ37" s="124" t="e">
        <f t="shared" si="0"/>
        <v>#REF!</v>
      </c>
      <c r="AR37" s="104">
        <v>1679493.5972319841</v>
      </c>
    </row>
    <row r="38" spans="1:44" ht="17.25" customHeight="1" x14ac:dyDescent="0.25">
      <c r="A38" s="107">
        <v>35</v>
      </c>
      <c r="B38" s="111">
        <v>390270</v>
      </c>
      <c r="C38" s="112" t="s">
        <v>100</v>
      </c>
      <c r="D38" s="132" t="e">
        <f t="shared" si="9"/>
        <v>#REF!</v>
      </c>
      <c r="E38" s="135">
        <v>9383467.8000000007</v>
      </c>
      <c r="F38" s="120">
        <v>22798</v>
      </c>
      <c r="G38" s="156" t="e">
        <f>#REF!-#REF!</f>
        <v>#REF!</v>
      </c>
      <c r="H38" s="120">
        <v>28158</v>
      </c>
      <c r="I38" s="156" t="e">
        <f>#REF!</f>
        <v>#REF!</v>
      </c>
      <c r="J38" s="120">
        <v>4165</v>
      </c>
      <c r="K38" s="121">
        <v>8537729.3100000005</v>
      </c>
      <c r="L38" s="120">
        <v>4295</v>
      </c>
      <c r="M38" s="121">
        <v>9718847.8399999999</v>
      </c>
      <c r="N38" s="109">
        <v>0</v>
      </c>
      <c r="O38" s="108">
        <v>0</v>
      </c>
      <c r="P38" s="128">
        <f t="shared" si="6"/>
        <v>0</v>
      </c>
      <c r="Q38" s="129">
        <f t="shared" si="7"/>
        <v>0</v>
      </c>
      <c r="R38" s="156">
        <v>0</v>
      </c>
      <c r="S38" s="120"/>
      <c r="T38" s="121"/>
      <c r="U38" s="109"/>
      <c r="V38" s="108">
        <f t="shared" si="8"/>
        <v>774619.31963201612</v>
      </c>
      <c r="W38" s="109"/>
      <c r="X38" s="108"/>
      <c r="Y38" s="109">
        <v>597</v>
      </c>
      <c r="Z38" s="108" t="e">
        <f>'АПП БАЗ (0)'!#REF!*1000</f>
        <v>#REF!</v>
      </c>
      <c r="AA38" s="109">
        <v>6467</v>
      </c>
      <c r="AB38" s="108">
        <v>4149744.56</v>
      </c>
      <c r="AC38" s="128">
        <v>4791.6120000000001</v>
      </c>
      <c r="AD38" s="129">
        <v>1797000</v>
      </c>
      <c r="AE38" s="128">
        <v>3429.79</v>
      </c>
      <c r="AF38" s="129">
        <v>1523000</v>
      </c>
      <c r="AG38" s="128">
        <v>1236.95</v>
      </c>
      <c r="AH38" s="129">
        <v>123000</v>
      </c>
      <c r="AI38" s="139" t="e">
        <f t="shared" si="4"/>
        <v>#REF!</v>
      </c>
      <c r="AJ38" s="106" t="e">
        <f t="shared" si="1"/>
        <v>#REF!</v>
      </c>
      <c r="AK38" s="188" t="e">
        <f t="shared" si="2"/>
        <v>#REF!</v>
      </c>
      <c r="AM38" s="192" t="e">
        <f t="shared" si="5"/>
        <v>#REF!</v>
      </c>
      <c r="AN38" s="211">
        <f>VLOOKUP(B38,'АПП БАЗ (0)'!$B$8:$Y$72,14,FALSE)*1000</f>
        <v>0</v>
      </c>
      <c r="AO38" s="197">
        <v>663004.19999999995</v>
      </c>
      <c r="AQ38" s="124" t="e">
        <f t="shared" si="0"/>
        <v>#REF!</v>
      </c>
      <c r="AR38" s="104">
        <v>774619.31963201612</v>
      </c>
    </row>
    <row r="39" spans="1:44" ht="17.25" customHeight="1" x14ac:dyDescent="0.25">
      <c r="A39" s="107">
        <v>36</v>
      </c>
      <c r="B39" s="111">
        <v>390190</v>
      </c>
      <c r="C39" s="112" t="s">
        <v>45</v>
      </c>
      <c r="D39" s="132" t="e">
        <f t="shared" si="9"/>
        <v>#REF!</v>
      </c>
      <c r="E39" s="135"/>
      <c r="F39" s="120">
        <v>48445</v>
      </c>
      <c r="G39" s="156" t="e">
        <f>#REF!-#REF!</f>
        <v>#REF!</v>
      </c>
      <c r="H39" s="120">
        <v>59835</v>
      </c>
      <c r="I39" s="156" t="e">
        <f>#REF!</f>
        <v>#REF!</v>
      </c>
      <c r="J39" s="120">
        <v>8432</v>
      </c>
      <c r="K39" s="121">
        <v>16881198.969999999</v>
      </c>
      <c r="L39" s="120">
        <v>9828</v>
      </c>
      <c r="M39" s="121">
        <v>22731613.889999993</v>
      </c>
      <c r="N39" s="109">
        <v>0</v>
      </c>
      <c r="O39" s="108">
        <v>0</v>
      </c>
      <c r="P39" s="128">
        <f t="shared" si="6"/>
        <v>0</v>
      </c>
      <c r="Q39" s="129">
        <f t="shared" si="7"/>
        <v>0</v>
      </c>
      <c r="R39" s="156">
        <v>0</v>
      </c>
      <c r="S39" s="120"/>
      <c r="T39" s="121"/>
      <c r="U39" s="109"/>
      <c r="V39" s="108">
        <f t="shared" si="8"/>
        <v>2110226.8982879966</v>
      </c>
      <c r="W39" s="109"/>
      <c r="X39" s="108"/>
      <c r="Y39" s="109">
        <v>2506</v>
      </c>
      <c r="Z39" s="108" t="e">
        <f>'АПП БАЗ (0)'!#REF!*1000</f>
        <v>#REF!</v>
      </c>
      <c r="AA39" s="109">
        <v>13870</v>
      </c>
      <c r="AB39" s="108">
        <v>8900101.5999999996</v>
      </c>
      <c r="AC39" s="128">
        <v>0</v>
      </c>
      <c r="AD39" s="129">
        <v>0</v>
      </c>
      <c r="AE39" s="128">
        <v>0</v>
      </c>
      <c r="AF39" s="129">
        <v>0</v>
      </c>
      <c r="AG39" s="128">
        <v>0</v>
      </c>
      <c r="AH39" s="129">
        <v>0</v>
      </c>
      <c r="AI39" s="139" t="e">
        <f t="shared" si="4"/>
        <v>#REF!</v>
      </c>
      <c r="AJ39" s="106" t="e">
        <f t="shared" si="1"/>
        <v>#REF!</v>
      </c>
      <c r="AK39" s="188" t="e">
        <f t="shared" si="2"/>
        <v>#REF!</v>
      </c>
      <c r="AM39" s="192" t="e">
        <f t="shared" si="5"/>
        <v>#REF!</v>
      </c>
      <c r="AN39" s="211">
        <f>VLOOKUP(B39,'АПП БАЗ (0)'!$B$8:$Y$72,14,FALSE)*1000</f>
        <v>0</v>
      </c>
      <c r="AO39" s="197">
        <v>1434426</v>
      </c>
      <c r="AQ39" s="124" t="e">
        <f t="shared" si="0"/>
        <v>#REF!</v>
      </c>
      <c r="AR39" s="104">
        <v>2110226.8982879966</v>
      </c>
    </row>
    <row r="40" spans="1:44" ht="17.25" customHeight="1" x14ac:dyDescent="0.25">
      <c r="A40" s="113">
        <v>37</v>
      </c>
      <c r="B40" s="111">
        <v>390280</v>
      </c>
      <c r="C40" s="112" t="s">
        <v>101</v>
      </c>
      <c r="D40" s="132" t="e">
        <f t="shared" si="9"/>
        <v>#REF!</v>
      </c>
      <c r="E40" s="135">
        <v>7704017.4400000004</v>
      </c>
      <c r="F40" s="120">
        <v>58419</v>
      </c>
      <c r="G40" s="156" t="e">
        <f>#REF!-#REF!</f>
        <v>#REF!</v>
      </c>
      <c r="H40" s="120">
        <v>72154</v>
      </c>
      <c r="I40" s="156" t="e">
        <f>#REF!</f>
        <v>#REF!</v>
      </c>
      <c r="J40" s="120">
        <v>11077</v>
      </c>
      <c r="K40" s="121">
        <v>22211502.419999998</v>
      </c>
      <c r="L40" s="120">
        <v>10954</v>
      </c>
      <c r="M40" s="121">
        <v>24993885.460000005</v>
      </c>
      <c r="N40" s="109">
        <v>0</v>
      </c>
      <c r="O40" s="108">
        <v>0</v>
      </c>
      <c r="P40" s="128">
        <f t="shared" si="6"/>
        <v>0</v>
      </c>
      <c r="Q40" s="129">
        <f t="shared" si="7"/>
        <v>0</v>
      </c>
      <c r="R40" s="156">
        <v>0</v>
      </c>
      <c r="S40" s="120"/>
      <c r="T40" s="121"/>
      <c r="U40" s="109"/>
      <c r="V40" s="108">
        <f t="shared" si="8"/>
        <v>2339272.4378400147</v>
      </c>
      <c r="W40" s="109"/>
      <c r="X40" s="108"/>
      <c r="Y40" s="109">
        <v>1446</v>
      </c>
      <c r="Z40" s="108" t="e">
        <f>'АПП БАЗ (0)'!#REF!*1000</f>
        <v>#REF!</v>
      </c>
      <c r="AA40" s="109">
        <v>16504</v>
      </c>
      <c r="AB40" s="108">
        <v>10590286.720000001</v>
      </c>
      <c r="AC40" s="128">
        <v>0</v>
      </c>
      <c r="AD40" s="129">
        <v>0</v>
      </c>
      <c r="AE40" s="128">
        <v>0</v>
      </c>
      <c r="AF40" s="129">
        <v>0</v>
      </c>
      <c r="AG40" s="128">
        <v>0</v>
      </c>
      <c r="AH40" s="129">
        <v>0</v>
      </c>
      <c r="AI40" s="139" t="e">
        <f t="shared" si="4"/>
        <v>#REF!</v>
      </c>
      <c r="AJ40" s="106" t="e">
        <f t="shared" si="1"/>
        <v>#REF!</v>
      </c>
      <c r="AK40" s="188" t="e">
        <f t="shared" si="2"/>
        <v>#REF!</v>
      </c>
      <c r="AM40" s="192" t="e">
        <f t="shared" si="5"/>
        <v>#REF!</v>
      </c>
      <c r="AN40" s="211">
        <f>VLOOKUP(B40,'АПП БАЗ (0)'!$B$8:$Y$72,14,FALSE)*1000</f>
        <v>0</v>
      </c>
      <c r="AO40" s="197">
        <v>1698774.8</v>
      </c>
      <c r="AQ40" s="124" t="e">
        <f t="shared" si="0"/>
        <v>#REF!</v>
      </c>
      <c r="AR40" s="104">
        <v>2339272.4378400147</v>
      </c>
    </row>
    <row r="41" spans="1:44" ht="17.25" customHeight="1" x14ac:dyDescent="0.25">
      <c r="A41" s="107">
        <v>38</v>
      </c>
      <c r="B41" s="111">
        <v>390600</v>
      </c>
      <c r="C41" s="112" t="s">
        <v>118</v>
      </c>
      <c r="D41" s="132" t="e">
        <f t="shared" si="9"/>
        <v>#REF!</v>
      </c>
      <c r="E41" s="135"/>
      <c r="F41" s="120">
        <v>19948</v>
      </c>
      <c r="G41" s="156" t="e">
        <f>#REF!-#REF!</f>
        <v>#REF!</v>
      </c>
      <c r="H41" s="120">
        <v>24638</v>
      </c>
      <c r="I41" s="156" t="e">
        <f>#REF!</f>
        <v>#REF!</v>
      </c>
      <c r="J41" s="120">
        <v>229</v>
      </c>
      <c r="K41" s="121">
        <v>299568.23000000004</v>
      </c>
      <c r="L41" s="120">
        <v>6372</v>
      </c>
      <c r="M41" s="121">
        <v>12679238.260000002</v>
      </c>
      <c r="N41" s="109">
        <v>0</v>
      </c>
      <c r="O41" s="108">
        <v>0</v>
      </c>
      <c r="P41" s="128">
        <f t="shared" si="6"/>
        <v>0</v>
      </c>
      <c r="Q41" s="129">
        <f t="shared" si="7"/>
        <v>0</v>
      </c>
      <c r="R41" s="156">
        <v>100000</v>
      </c>
      <c r="S41" s="120"/>
      <c r="T41" s="121"/>
      <c r="U41" s="109"/>
      <c r="V41" s="108">
        <f t="shared" si="8"/>
        <v>-271924.69638400525</v>
      </c>
      <c r="W41" s="109"/>
      <c r="X41" s="108"/>
      <c r="Y41" s="109">
        <v>741</v>
      </c>
      <c r="Z41" s="108" t="e">
        <f>'АПП БАЗ (0)'!#REF!*1000</f>
        <v>#REF!</v>
      </c>
      <c r="AA41" s="109">
        <v>5613</v>
      </c>
      <c r="AB41" s="108">
        <v>3601749.84</v>
      </c>
      <c r="AC41" s="128">
        <v>1062.3710000000001</v>
      </c>
      <c r="AD41" s="129">
        <v>423000</v>
      </c>
      <c r="AE41" s="128">
        <v>807.346</v>
      </c>
      <c r="AF41" s="129">
        <v>304000</v>
      </c>
      <c r="AG41" s="128">
        <v>246.90299999999999</v>
      </c>
      <c r="AH41" s="129">
        <v>8000</v>
      </c>
      <c r="AI41" s="139" t="e">
        <f t="shared" si="4"/>
        <v>#REF!</v>
      </c>
      <c r="AJ41" s="106" t="e">
        <f t="shared" si="1"/>
        <v>#REF!</v>
      </c>
      <c r="AK41" s="188" t="e">
        <f t="shared" si="2"/>
        <v>#REF!</v>
      </c>
      <c r="AM41" s="192" t="e">
        <f t="shared" si="5"/>
        <v>#REF!</v>
      </c>
      <c r="AN41" s="211">
        <f>VLOOKUP(B41,'АПП БАЗ (0)'!$B$8:$Y$72,14,FALSE)*1000</f>
        <v>0</v>
      </c>
      <c r="AO41" s="197">
        <v>542218.88</v>
      </c>
      <c r="AQ41" s="124" t="e">
        <f t="shared" si="0"/>
        <v>#REF!</v>
      </c>
      <c r="AR41" s="104">
        <v>-271924.69638400525</v>
      </c>
    </row>
    <row r="42" spans="1:44" ht="17.25" customHeight="1" x14ac:dyDescent="0.25">
      <c r="A42" s="107">
        <v>39</v>
      </c>
      <c r="B42" s="111">
        <v>390340</v>
      </c>
      <c r="C42" s="112" t="s">
        <v>119</v>
      </c>
      <c r="D42" s="132" t="e">
        <f>G42+I42+K42+M42+AO42</f>
        <v>#REF!</v>
      </c>
      <c r="E42" s="135"/>
      <c r="F42" s="120">
        <v>17098</v>
      </c>
      <c r="G42" s="156" t="e">
        <f>#REF!-#REF!</f>
        <v>#REF!</v>
      </c>
      <c r="H42" s="120">
        <v>21118</v>
      </c>
      <c r="I42" s="156" t="e">
        <f>#REF!</f>
        <v>#REF!</v>
      </c>
      <c r="J42" s="120">
        <v>792</v>
      </c>
      <c r="K42" s="121">
        <v>948084.08</v>
      </c>
      <c r="L42" s="120">
        <v>4248</v>
      </c>
      <c r="M42" s="121">
        <v>9426699.6099999994</v>
      </c>
      <c r="N42" s="109">
        <v>0</v>
      </c>
      <c r="O42" s="108">
        <v>0</v>
      </c>
      <c r="P42" s="128">
        <f t="shared" si="6"/>
        <v>0</v>
      </c>
      <c r="Q42" s="129">
        <f t="shared" si="7"/>
        <v>0</v>
      </c>
      <c r="R42" s="156">
        <v>0</v>
      </c>
      <c r="S42" s="120"/>
      <c r="T42" s="121"/>
      <c r="U42" s="109"/>
      <c r="V42" s="108">
        <f t="shared" si="8"/>
        <v>-1972366.8023999929</v>
      </c>
      <c r="W42" s="109"/>
      <c r="X42" s="108"/>
      <c r="Y42" s="109">
        <v>1908</v>
      </c>
      <c r="Z42" s="108" t="e">
        <f>'АПП БАЗ (0)'!#REF!*1000</f>
        <v>#REF!</v>
      </c>
      <c r="AA42" s="109">
        <v>4759</v>
      </c>
      <c r="AB42" s="108">
        <v>3053755.12</v>
      </c>
      <c r="AC42" s="128">
        <v>3189.3049999999998</v>
      </c>
      <c r="AD42" s="129">
        <v>1266000</v>
      </c>
      <c r="AE42" s="128">
        <v>2416.3130000000001</v>
      </c>
      <c r="AF42" s="129">
        <v>868000</v>
      </c>
      <c r="AG42" s="128">
        <v>704.97199999999998</v>
      </c>
      <c r="AH42" s="129">
        <v>67000</v>
      </c>
      <c r="AI42" s="139" t="e">
        <f t="shared" si="4"/>
        <v>#REF!</v>
      </c>
      <c r="AJ42" s="106" t="e">
        <f t="shared" si="1"/>
        <v>#REF!</v>
      </c>
      <c r="AK42" s="188" t="e">
        <f t="shared" si="2"/>
        <v>#REF!</v>
      </c>
      <c r="AM42" s="192" t="e">
        <f t="shared" si="5"/>
        <v>#REF!</v>
      </c>
      <c r="AN42" s="211">
        <f>VLOOKUP(B42,'АПП БАЗ (0)'!$B$8:$Y$72,14,FALSE)*1000</f>
        <v>0</v>
      </c>
      <c r="AO42" s="197">
        <v>448326.55</v>
      </c>
      <c r="AQ42" s="124" t="e">
        <f t="shared" si="0"/>
        <v>#REF!</v>
      </c>
      <c r="AR42" s="104">
        <v>-1972366.8023999929</v>
      </c>
    </row>
    <row r="43" spans="1:44" ht="17.25" customHeight="1" x14ac:dyDescent="0.25">
      <c r="A43" s="107">
        <v>40</v>
      </c>
      <c r="B43" s="111">
        <v>391000</v>
      </c>
      <c r="C43" s="110" t="s">
        <v>146</v>
      </c>
      <c r="D43" s="121"/>
      <c r="E43" s="135"/>
      <c r="F43" s="120"/>
      <c r="G43" s="121"/>
      <c r="H43" s="120"/>
      <c r="I43" s="121"/>
      <c r="J43" s="120"/>
      <c r="K43" s="121"/>
      <c r="L43" s="120"/>
      <c r="M43" s="121"/>
      <c r="N43" s="109"/>
      <c r="O43" s="108"/>
      <c r="P43" s="120"/>
      <c r="Q43" s="121"/>
      <c r="R43" s="121">
        <v>0</v>
      </c>
      <c r="S43" s="120"/>
      <c r="T43" s="121"/>
      <c r="U43" s="109"/>
      <c r="V43" s="108"/>
      <c r="W43" s="109"/>
      <c r="X43" s="108"/>
      <c r="Y43" s="109"/>
      <c r="Z43" s="108"/>
      <c r="AA43" s="109">
        <v>0</v>
      </c>
      <c r="AB43" s="108">
        <v>0</v>
      </c>
      <c r="AC43" s="128">
        <v>124618.829</v>
      </c>
      <c r="AD43" s="129">
        <v>49004000</v>
      </c>
      <c r="AE43" s="128">
        <v>93530.013999999996</v>
      </c>
      <c r="AF43" s="129">
        <v>34682000</v>
      </c>
      <c r="AG43" s="128">
        <v>28168.026999999998</v>
      </c>
      <c r="AH43" s="129">
        <v>2877000</v>
      </c>
      <c r="AI43" s="139">
        <f t="shared" si="4"/>
        <v>86563000</v>
      </c>
      <c r="AJ43" s="106">
        <f t="shared" si="1"/>
        <v>86563000</v>
      </c>
      <c r="AK43" s="188">
        <f t="shared" si="2"/>
        <v>86563000</v>
      </c>
      <c r="AM43" s="192">
        <f t="shared" si="3"/>
        <v>0</v>
      </c>
      <c r="AN43" s="211"/>
      <c r="AO43" s="197">
        <v>0</v>
      </c>
      <c r="AQ43" s="124">
        <f t="shared" si="0"/>
        <v>0</v>
      </c>
    </row>
    <row r="44" spans="1:44" ht="17.25" customHeight="1" x14ac:dyDescent="0.25">
      <c r="A44" s="107">
        <v>41</v>
      </c>
      <c r="B44" s="111">
        <v>390910</v>
      </c>
      <c r="C44" s="110" t="s">
        <v>145</v>
      </c>
      <c r="D44" s="121"/>
      <c r="E44" s="135"/>
      <c r="F44" s="120"/>
      <c r="G44" s="121"/>
      <c r="H44" s="120"/>
      <c r="I44" s="121"/>
      <c r="J44" s="120"/>
      <c r="K44" s="121"/>
      <c r="L44" s="120"/>
      <c r="M44" s="121"/>
      <c r="N44" s="109"/>
      <c r="O44" s="108"/>
      <c r="P44" s="120"/>
      <c r="Q44" s="121"/>
      <c r="R44" s="121">
        <v>0</v>
      </c>
      <c r="S44" s="120"/>
      <c r="T44" s="121"/>
      <c r="U44" s="109"/>
      <c r="V44" s="108"/>
      <c r="W44" s="109"/>
      <c r="X44" s="108"/>
      <c r="Y44" s="109"/>
      <c r="Z44" s="108"/>
      <c r="AA44" s="109">
        <v>0</v>
      </c>
      <c r="AB44" s="108">
        <v>0</v>
      </c>
      <c r="AC44" s="128">
        <v>155054.59100000001</v>
      </c>
      <c r="AD44" s="129">
        <v>61146000</v>
      </c>
      <c r="AE44" s="128">
        <v>116704.47900000001</v>
      </c>
      <c r="AF44" s="129">
        <v>43875000</v>
      </c>
      <c r="AG44" s="128">
        <v>35634.398000000001</v>
      </c>
      <c r="AH44" s="129">
        <v>2675000</v>
      </c>
      <c r="AI44" s="139">
        <f t="shared" si="4"/>
        <v>107696000</v>
      </c>
      <c r="AJ44" s="106">
        <f t="shared" si="1"/>
        <v>107696000</v>
      </c>
      <c r="AK44" s="188">
        <f t="shared" si="2"/>
        <v>107696000</v>
      </c>
      <c r="AM44" s="192">
        <f t="shared" si="3"/>
        <v>0</v>
      </c>
      <c r="AN44" s="211"/>
      <c r="AO44" s="197">
        <v>0</v>
      </c>
      <c r="AQ44" s="124">
        <f t="shared" si="0"/>
        <v>0</v>
      </c>
    </row>
    <row r="45" spans="1:44" ht="17.25" customHeight="1" x14ac:dyDescent="0.25">
      <c r="A45" s="107">
        <v>42</v>
      </c>
      <c r="B45" s="111">
        <v>391020</v>
      </c>
      <c r="C45" s="110" t="s">
        <v>144</v>
      </c>
      <c r="D45" s="121"/>
      <c r="E45" s="135"/>
      <c r="F45" s="120"/>
      <c r="G45" s="121"/>
      <c r="H45" s="120"/>
      <c r="I45" s="121"/>
      <c r="J45" s="120"/>
      <c r="K45" s="121"/>
      <c r="L45" s="120"/>
      <c r="M45" s="121"/>
      <c r="N45" s="109"/>
      <c r="O45" s="108"/>
      <c r="P45" s="120"/>
      <c r="Q45" s="121"/>
      <c r="R45" s="121">
        <v>0</v>
      </c>
      <c r="S45" s="120"/>
      <c r="T45" s="121"/>
      <c r="U45" s="109"/>
      <c r="V45" s="108"/>
      <c r="W45" s="109"/>
      <c r="X45" s="108"/>
      <c r="Y45" s="109"/>
      <c r="Z45" s="108"/>
      <c r="AA45" s="109">
        <v>0</v>
      </c>
      <c r="AB45" s="108">
        <v>0</v>
      </c>
      <c r="AC45" s="128">
        <v>103399.519</v>
      </c>
      <c r="AD45" s="129">
        <v>40365000</v>
      </c>
      <c r="AE45" s="128">
        <v>77041.445999999996</v>
      </c>
      <c r="AF45" s="129">
        <v>29836000</v>
      </c>
      <c r="AG45" s="128">
        <v>24232.202000000001</v>
      </c>
      <c r="AH45" s="129">
        <v>2094000</v>
      </c>
      <c r="AI45" s="139">
        <f t="shared" si="4"/>
        <v>72295000</v>
      </c>
      <c r="AJ45" s="106">
        <f t="shared" si="1"/>
        <v>72295000</v>
      </c>
      <c r="AK45" s="188">
        <f t="shared" si="2"/>
        <v>72295000</v>
      </c>
      <c r="AM45" s="192">
        <f t="shared" si="3"/>
        <v>0</v>
      </c>
      <c r="AN45" s="211"/>
      <c r="AO45" s="197">
        <v>0</v>
      </c>
      <c r="AQ45" s="124">
        <f t="shared" si="0"/>
        <v>0</v>
      </c>
    </row>
    <row r="46" spans="1:44" ht="17.25" customHeight="1" x14ac:dyDescent="0.25">
      <c r="A46" s="107">
        <v>43</v>
      </c>
      <c r="B46" s="111">
        <v>391110</v>
      </c>
      <c r="C46" s="110" t="s">
        <v>143</v>
      </c>
      <c r="D46" s="121"/>
      <c r="E46" s="135"/>
      <c r="F46" s="120"/>
      <c r="G46" s="121"/>
      <c r="H46" s="120"/>
      <c r="I46" s="121"/>
      <c r="J46" s="120"/>
      <c r="K46" s="121"/>
      <c r="L46" s="120"/>
      <c r="M46" s="121"/>
      <c r="N46" s="109"/>
      <c r="O46" s="108"/>
      <c r="P46" s="120"/>
      <c r="Q46" s="121"/>
      <c r="R46" s="121">
        <v>0</v>
      </c>
      <c r="S46" s="120"/>
      <c r="T46" s="121"/>
      <c r="U46" s="109"/>
      <c r="V46" s="108"/>
      <c r="W46" s="109"/>
      <c r="X46" s="108"/>
      <c r="Y46" s="109"/>
      <c r="Z46" s="108"/>
      <c r="AA46" s="109">
        <v>0</v>
      </c>
      <c r="AB46" s="108">
        <v>0</v>
      </c>
      <c r="AC46" s="128">
        <v>42256.817000000003</v>
      </c>
      <c r="AD46" s="129">
        <v>16762000</v>
      </c>
      <c r="AE46" s="128">
        <v>31992.288</v>
      </c>
      <c r="AF46" s="129">
        <v>11477000</v>
      </c>
      <c r="AG46" s="128">
        <v>9321.39</v>
      </c>
      <c r="AH46" s="129">
        <v>929000</v>
      </c>
      <c r="AI46" s="139">
        <f t="shared" si="4"/>
        <v>29168000</v>
      </c>
      <c r="AJ46" s="106">
        <f t="shared" si="1"/>
        <v>29168000</v>
      </c>
      <c r="AK46" s="188">
        <f t="shared" si="2"/>
        <v>29168000</v>
      </c>
      <c r="AM46" s="192">
        <f t="shared" si="3"/>
        <v>0</v>
      </c>
      <c r="AN46" s="211"/>
      <c r="AO46" s="197">
        <v>0</v>
      </c>
      <c r="AQ46" s="124">
        <f t="shared" si="0"/>
        <v>0</v>
      </c>
    </row>
    <row r="47" spans="1:44" ht="17.25" customHeight="1" x14ac:dyDescent="0.25">
      <c r="A47" s="107">
        <v>44</v>
      </c>
      <c r="B47" s="111">
        <v>390286</v>
      </c>
      <c r="C47" s="110" t="s">
        <v>142</v>
      </c>
      <c r="D47" s="121"/>
      <c r="E47" s="135"/>
      <c r="F47" s="120"/>
      <c r="G47" s="121"/>
      <c r="H47" s="120"/>
      <c r="I47" s="121"/>
      <c r="J47" s="120"/>
      <c r="K47" s="121"/>
      <c r="L47" s="120"/>
      <c r="M47" s="121"/>
      <c r="N47" s="109"/>
      <c r="O47" s="108"/>
      <c r="P47" s="120"/>
      <c r="Q47" s="121"/>
      <c r="R47" s="121">
        <v>0</v>
      </c>
      <c r="S47" s="120"/>
      <c r="T47" s="121"/>
      <c r="U47" s="109"/>
      <c r="V47" s="108"/>
      <c r="W47" s="109"/>
      <c r="X47" s="108"/>
      <c r="Y47" s="109"/>
      <c r="Z47" s="108"/>
      <c r="AA47" s="109">
        <v>0</v>
      </c>
      <c r="AB47" s="108">
        <v>0</v>
      </c>
      <c r="AC47" s="128">
        <v>35217.055</v>
      </c>
      <c r="AD47" s="129">
        <v>13612000</v>
      </c>
      <c r="AE47" s="128">
        <v>25980.134999999998</v>
      </c>
      <c r="AF47" s="129">
        <v>10438000</v>
      </c>
      <c r="AG47" s="128">
        <v>8477.5349999999999</v>
      </c>
      <c r="AH47" s="129">
        <v>748000</v>
      </c>
      <c r="AI47" s="139">
        <f t="shared" si="4"/>
        <v>24798000</v>
      </c>
      <c r="AJ47" s="106">
        <f t="shared" si="1"/>
        <v>24798000</v>
      </c>
      <c r="AK47" s="188">
        <f t="shared" si="2"/>
        <v>24798000</v>
      </c>
      <c r="AM47" s="192">
        <f t="shared" si="3"/>
        <v>0</v>
      </c>
      <c r="AN47" s="211"/>
      <c r="AO47" s="197">
        <v>0</v>
      </c>
      <c r="AQ47" s="124">
        <f t="shared" si="0"/>
        <v>0</v>
      </c>
    </row>
    <row r="48" spans="1:44" ht="17.25" customHeight="1" x14ac:dyDescent="0.25">
      <c r="A48" s="107">
        <v>45</v>
      </c>
      <c r="B48" s="111">
        <v>392240</v>
      </c>
      <c r="C48" s="110" t="s">
        <v>141</v>
      </c>
      <c r="D48" s="121"/>
      <c r="E48" s="135"/>
      <c r="F48" s="120"/>
      <c r="G48" s="121"/>
      <c r="H48" s="120"/>
      <c r="I48" s="121"/>
      <c r="J48" s="120"/>
      <c r="K48" s="121"/>
      <c r="L48" s="120"/>
      <c r="M48" s="121"/>
      <c r="N48" s="109"/>
      <c r="O48" s="108"/>
      <c r="P48" s="120"/>
      <c r="Q48" s="121"/>
      <c r="R48" s="121">
        <v>0</v>
      </c>
      <c r="S48" s="120"/>
      <c r="T48" s="121"/>
      <c r="U48" s="109"/>
      <c r="V48" s="108"/>
      <c r="W48" s="109"/>
      <c r="X48" s="108"/>
      <c r="Y48" s="109"/>
      <c r="Z48" s="108"/>
      <c r="AA48" s="109">
        <v>0</v>
      </c>
      <c r="AB48" s="108">
        <v>0</v>
      </c>
      <c r="AC48" s="128">
        <v>2391.7849999999999</v>
      </c>
      <c r="AD48" s="129">
        <v>949000</v>
      </c>
      <c r="AE48" s="128">
        <v>1811.28</v>
      </c>
      <c r="AF48" s="129">
        <v>651000</v>
      </c>
      <c r="AG48" s="128">
        <v>528.72900000000004</v>
      </c>
      <c r="AH48" s="129">
        <v>51000</v>
      </c>
      <c r="AI48" s="139">
        <f t="shared" si="4"/>
        <v>1651000</v>
      </c>
      <c r="AJ48" s="106">
        <f t="shared" si="1"/>
        <v>1651000</v>
      </c>
      <c r="AK48" s="188">
        <f t="shared" si="2"/>
        <v>1651000</v>
      </c>
      <c r="AM48" s="192">
        <f t="shared" si="3"/>
        <v>0</v>
      </c>
      <c r="AN48" s="211"/>
      <c r="AO48" s="197">
        <v>0</v>
      </c>
      <c r="AQ48" s="124">
        <f t="shared" si="0"/>
        <v>0</v>
      </c>
    </row>
    <row r="49" spans="1:43" ht="17.25" customHeight="1" x14ac:dyDescent="0.25">
      <c r="A49" s="107">
        <v>46</v>
      </c>
      <c r="B49" s="111">
        <v>391090</v>
      </c>
      <c r="C49" s="110" t="s">
        <v>140</v>
      </c>
      <c r="D49" s="121"/>
      <c r="E49" s="135"/>
      <c r="F49" s="120"/>
      <c r="G49" s="121"/>
      <c r="H49" s="120"/>
      <c r="I49" s="121"/>
      <c r="J49" s="120"/>
      <c r="K49" s="121"/>
      <c r="L49" s="120"/>
      <c r="M49" s="121"/>
      <c r="N49" s="109"/>
      <c r="O49" s="108"/>
      <c r="P49" s="120"/>
      <c r="Q49" s="121"/>
      <c r="R49" s="121">
        <v>0</v>
      </c>
      <c r="S49" s="120"/>
      <c r="T49" s="121"/>
      <c r="U49" s="109"/>
      <c r="V49" s="108"/>
      <c r="W49" s="109"/>
      <c r="X49" s="108"/>
      <c r="Y49" s="109"/>
      <c r="Z49" s="108"/>
      <c r="AA49" s="109">
        <v>0</v>
      </c>
      <c r="AB49" s="108">
        <v>0</v>
      </c>
      <c r="AC49" s="128">
        <v>76950.542000000001</v>
      </c>
      <c r="AD49" s="129">
        <v>31078000</v>
      </c>
      <c r="AE49" s="128">
        <v>59316.091999999997</v>
      </c>
      <c r="AF49" s="129">
        <v>19635000</v>
      </c>
      <c r="AG49" s="128">
        <v>15947.154</v>
      </c>
      <c r="AH49" s="129">
        <v>1662000</v>
      </c>
      <c r="AI49" s="139">
        <f t="shared" si="4"/>
        <v>52375000</v>
      </c>
      <c r="AJ49" s="106">
        <f t="shared" si="1"/>
        <v>52375000</v>
      </c>
      <c r="AK49" s="188">
        <f t="shared" si="2"/>
        <v>52375000</v>
      </c>
      <c r="AM49" s="192">
        <f t="shared" si="3"/>
        <v>0</v>
      </c>
      <c r="AN49" s="211"/>
      <c r="AO49" s="197">
        <v>0</v>
      </c>
      <c r="AQ49" s="124">
        <f t="shared" si="0"/>
        <v>0</v>
      </c>
    </row>
    <row r="50" spans="1:43" ht="17.25" customHeight="1" x14ac:dyDescent="0.25">
      <c r="A50" s="107">
        <v>47</v>
      </c>
      <c r="B50" s="111">
        <v>391200</v>
      </c>
      <c r="C50" s="110" t="s">
        <v>139</v>
      </c>
      <c r="D50" s="121"/>
      <c r="E50" s="135"/>
      <c r="F50" s="120"/>
      <c r="G50" s="121"/>
      <c r="H50" s="120"/>
      <c r="I50" s="121"/>
      <c r="J50" s="120"/>
      <c r="K50" s="121"/>
      <c r="L50" s="120"/>
      <c r="M50" s="121"/>
      <c r="N50" s="109"/>
      <c r="O50" s="108"/>
      <c r="P50" s="120"/>
      <c r="Q50" s="121"/>
      <c r="R50" s="121">
        <v>0</v>
      </c>
      <c r="S50" s="120"/>
      <c r="T50" s="121"/>
      <c r="U50" s="109"/>
      <c r="V50" s="108"/>
      <c r="W50" s="109"/>
      <c r="X50" s="108"/>
      <c r="Y50" s="109"/>
      <c r="Z50" s="108"/>
      <c r="AA50" s="109">
        <v>0</v>
      </c>
      <c r="AB50" s="108">
        <v>0</v>
      </c>
      <c r="AC50" s="128">
        <v>13567.124</v>
      </c>
      <c r="AD50" s="129">
        <v>5406000</v>
      </c>
      <c r="AE50" s="128">
        <v>10318</v>
      </c>
      <c r="AF50" s="129">
        <v>3623000</v>
      </c>
      <c r="AG50" s="128">
        <v>2942.5279999999998</v>
      </c>
      <c r="AH50" s="129">
        <v>302000</v>
      </c>
      <c r="AI50" s="139">
        <f t="shared" si="4"/>
        <v>9331000</v>
      </c>
      <c r="AJ50" s="106">
        <f t="shared" si="1"/>
        <v>9331000</v>
      </c>
      <c r="AK50" s="188">
        <f t="shared" si="2"/>
        <v>9331000</v>
      </c>
      <c r="AM50" s="192">
        <f t="shared" si="3"/>
        <v>0</v>
      </c>
      <c r="AN50" s="211"/>
      <c r="AO50" s="197">
        <v>0</v>
      </c>
      <c r="AQ50" s="124">
        <f t="shared" si="0"/>
        <v>0</v>
      </c>
    </row>
    <row r="51" spans="1:43" ht="17.25" customHeight="1" x14ac:dyDescent="0.25">
      <c r="A51" s="107">
        <v>48</v>
      </c>
      <c r="B51" s="111">
        <v>391350</v>
      </c>
      <c r="C51" s="110" t="s">
        <v>138</v>
      </c>
      <c r="D51" s="121"/>
      <c r="E51" s="135"/>
      <c r="F51" s="120"/>
      <c r="G51" s="121"/>
      <c r="H51" s="120"/>
      <c r="I51" s="121"/>
      <c r="J51" s="120"/>
      <c r="K51" s="121"/>
      <c r="L51" s="120"/>
      <c r="M51" s="121"/>
      <c r="N51" s="109"/>
      <c r="O51" s="108"/>
      <c r="P51" s="120"/>
      <c r="Q51" s="121"/>
      <c r="R51" s="121">
        <v>0</v>
      </c>
      <c r="S51" s="120"/>
      <c r="T51" s="121"/>
      <c r="U51" s="109"/>
      <c r="V51" s="108"/>
      <c r="W51" s="109"/>
      <c r="X51" s="108"/>
      <c r="Y51" s="109"/>
      <c r="Z51" s="108"/>
      <c r="AA51" s="109">
        <v>0</v>
      </c>
      <c r="AB51" s="108">
        <v>0</v>
      </c>
      <c r="AC51" s="128">
        <v>10886.04</v>
      </c>
      <c r="AD51" s="129">
        <v>4590000</v>
      </c>
      <c r="AE51" s="128">
        <v>8760.5660000000007</v>
      </c>
      <c r="AF51" s="129">
        <v>2387000</v>
      </c>
      <c r="AG51" s="128">
        <v>1938.674</v>
      </c>
      <c r="AH51" s="129">
        <v>184000</v>
      </c>
      <c r="AI51" s="139">
        <f t="shared" si="4"/>
        <v>7161000</v>
      </c>
      <c r="AJ51" s="106">
        <f t="shared" si="1"/>
        <v>7161000</v>
      </c>
      <c r="AK51" s="188">
        <f t="shared" si="2"/>
        <v>7161000</v>
      </c>
      <c r="AM51" s="192">
        <f t="shared" si="3"/>
        <v>0</v>
      </c>
      <c r="AN51" s="211"/>
      <c r="AO51" s="197">
        <v>0</v>
      </c>
      <c r="AQ51" s="124">
        <f t="shared" si="0"/>
        <v>0</v>
      </c>
    </row>
    <row r="52" spans="1:43" ht="17.25" customHeight="1" x14ac:dyDescent="0.25">
      <c r="A52" s="107">
        <v>49</v>
      </c>
      <c r="B52" s="111">
        <v>391640</v>
      </c>
      <c r="C52" s="110" t="s">
        <v>137</v>
      </c>
      <c r="D52" s="121"/>
      <c r="E52" s="135"/>
      <c r="F52" s="120"/>
      <c r="G52" s="121"/>
      <c r="H52" s="120"/>
      <c r="I52" s="121"/>
      <c r="J52" s="120"/>
      <c r="K52" s="121"/>
      <c r="L52" s="120"/>
      <c r="M52" s="121"/>
      <c r="N52" s="109"/>
      <c r="O52" s="108"/>
      <c r="P52" s="120"/>
      <c r="Q52" s="121"/>
      <c r="R52" s="121">
        <v>0</v>
      </c>
      <c r="S52" s="120"/>
      <c r="T52" s="121"/>
      <c r="U52" s="109"/>
      <c r="V52" s="108"/>
      <c r="W52" s="109"/>
      <c r="X52" s="108"/>
      <c r="Y52" s="109"/>
      <c r="Z52" s="108"/>
      <c r="AA52" s="109">
        <v>0</v>
      </c>
      <c r="AB52" s="108">
        <v>0</v>
      </c>
      <c r="AC52" s="128">
        <v>14408.540999999999</v>
      </c>
      <c r="AD52" s="129">
        <v>6131000</v>
      </c>
      <c r="AE52" s="128">
        <v>11701.749</v>
      </c>
      <c r="AF52" s="129">
        <v>3039000</v>
      </c>
      <c r="AG52" s="128">
        <v>2468.2150000000001</v>
      </c>
      <c r="AH52" s="129">
        <v>235000</v>
      </c>
      <c r="AI52" s="139">
        <f t="shared" si="4"/>
        <v>9405000</v>
      </c>
      <c r="AJ52" s="106">
        <f t="shared" si="1"/>
        <v>9405000</v>
      </c>
      <c r="AK52" s="188">
        <f t="shared" si="2"/>
        <v>9405000</v>
      </c>
      <c r="AM52" s="192">
        <f t="shared" si="3"/>
        <v>0</v>
      </c>
      <c r="AN52" s="211"/>
      <c r="AO52" s="197">
        <v>0</v>
      </c>
      <c r="AQ52" s="124">
        <f t="shared" si="0"/>
        <v>0</v>
      </c>
    </row>
    <row r="53" spans="1:43" ht="17.25" customHeight="1" x14ac:dyDescent="0.25">
      <c r="A53" s="107">
        <v>50</v>
      </c>
      <c r="B53" s="111">
        <v>391720</v>
      </c>
      <c r="C53" s="110" t="s">
        <v>136</v>
      </c>
      <c r="D53" s="121"/>
      <c r="E53" s="135"/>
      <c r="F53" s="120"/>
      <c r="G53" s="121"/>
      <c r="H53" s="120"/>
      <c r="I53" s="121"/>
      <c r="J53" s="120"/>
      <c r="K53" s="121"/>
      <c r="L53" s="120"/>
      <c r="M53" s="121"/>
      <c r="N53" s="109"/>
      <c r="O53" s="108"/>
      <c r="P53" s="120"/>
      <c r="Q53" s="121"/>
      <c r="R53" s="121">
        <v>0</v>
      </c>
      <c r="S53" s="120"/>
      <c r="T53" s="121"/>
      <c r="U53" s="109"/>
      <c r="V53" s="108"/>
      <c r="W53" s="109"/>
      <c r="X53" s="108"/>
      <c r="Y53" s="109"/>
      <c r="Z53" s="108"/>
      <c r="AA53" s="109">
        <v>0</v>
      </c>
      <c r="AB53" s="108">
        <v>0</v>
      </c>
      <c r="AC53" s="128">
        <v>5109.2970000000005</v>
      </c>
      <c r="AD53" s="129">
        <v>1996000</v>
      </c>
      <c r="AE53" s="128">
        <v>3809.6060000000002</v>
      </c>
      <c r="AF53" s="129">
        <v>1459000</v>
      </c>
      <c r="AG53" s="128">
        <v>1184.971</v>
      </c>
      <c r="AH53" s="129">
        <v>113000</v>
      </c>
      <c r="AI53" s="139">
        <f t="shared" si="4"/>
        <v>3568000</v>
      </c>
      <c r="AJ53" s="106">
        <f t="shared" si="1"/>
        <v>3568000</v>
      </c>
      <c r="AK53" s="188">
        <f t="shared" si="2"/>
        <v>3568000</v>
      </c>
      <c r="AM53" s="192">
        <f t="shared" si="3"/>
        <v>0</v>
      </c>
      <c r="AN53" s="211"/>
      <c r="AO53" s="197">
        <v>0</v>
      </c>
      <c r="AQ53" s="124">
        <f t="shared" si="0"/>
        <v>0</v>
      </c>
    </row>
    <row r="54" spans="1:43" ht="17.25" customHeight="1" x14ac:dyDescent="0.25">
      <c r="A54" s="107">
        <v>51</v>
      </c>
      <c r="B54" s="111">
        <v>392390</v>
      </c>
      <c r="C54" s="110" t="s">
        <v>135</v>
      </c>
      <c r="D54" s="121"/>
      <c r="E54" s="135"/>
      <c r="F54" s="120"/>
      <c r="G54" s="121"/>
      <c r="H54" s="120"/>
      <c r="I54" s="121"/>
      <c r="J54" s="120"/>
      <c r="K54" s="121"/>
      <c r="L54" s="120"/>
      <c r="M54" s="121"/>
      <c r="N54" s="109"/>
      <c r="O54" s="108"/>
      <c r="P54" s="120"/>
      <c r="Q54" s="121"/>
      <c r="R54" s="121">
        <v>0</v>
      </c>
      <c r="S54" s="120"/>
      <c r="T54" s="121"/>
      <c r="U54" s="109"/>
      <c r="V54" s="108"/>
      <c r="W54" s="109"/>
      <c r="X54" s="108"/>
      <c r="Y54" s="109"/>
      <c r="Z54" s="108"/>
      <c r="AA54" s="109">
        <v>0</v>
      </c>
      <c r="AB54" s="108">
        <v>0</v>
      </c>
      <c r="AC54" s="128">
        <v>19243.442999999999</v>
      </c>
      <c r="AD54" s="129">
        <v>7636000</v>
      </c>
      <c r="AE54" s="128">
        <v>14574.222</v>
      </c>
      <c r="AF54" s="129">
        <v>5239000</v>
      </c>
      <c r="AG54" s="128">
        <v>4255.0110000000004</v>
      </c>
      <c r="AH54" s="129">
        <v>408000</v>
      </c>
      <c r="AI54" s="139">
        <f t="shared" si="4"/>
        <v>13283000</v>
      </c>
      <c r="AJ54" s="106">
        <f t="shared" si="1"/>
        <v>13283000</v>
      </c>
      <c r="AK54" s="188">
        <f t="shared" si="2"/>
        <v>13283000</v>
      </c>
      <c r="AM54" s="192">
        <f t="shared" si="3"/>
        <v>0</v>
      </c>
      <c r="AN54" s="211"/>
      <c r="AO54" s="197">
        <v>0</v>
      </c>
      <c r="AQ54" s="124">
        <f t="shared" si="0"/>
        <v>0</v>
      </c>
    </row>
    <row r="55" spans="1:43" ht="17.25" customHeight="1" x14ac:dyDescent="0.25">
      <c r="A55" s="107">
        <v>52</v>
      </c>
      <c r="B55" s="111">
        <v>392310</v>
      </c>
      <c r="C55" s="110" t="s">
        <v>134</v>
      </c>
      <c r="D55" s="121"/>
      <c r="E55" s="135"/>
      <c r="F55" s="120"/>
      <c r="G55" s="121"/>
      <c r="H55" s="120"/>
      <c r="I55" s="121"/>
      <c r="J55" s="120"/>
      <c r="K55" s="121"/>
      <c r="L55" s="120"/>
      <c r="M55" s="121"/>
      <c r="N55" s="109"/>
      <c r="O55" s="108"/>
      <c r="P55" s="120"/>
      <c r="Q55" s="121"/>
      <c r="R55" s="121">
        <v>0</v>
      </c>
      <c r="S55" s="120"/>
      <c r="T55" s="121"/>
      <c r="U55" s="109"/>
      <c r="V55" s="108"/>
      <c r="W55" s="109"/>
      <c r="X55" s="108"/>
      <c r="Y55" s="109"/>
      <c r="Z55" s="108"/>
      <c r="AA55" s="109">
        <v>0</v>
      </c>
      <c r="AB55" s="108">
        <v>0</v>
      </c>
      <c r="AC55" s="128">
        <v>5626.5330000000004</v>
      </c>
      <c r="AD55" s="129">
        <v>2267000</v>
      </c>
      <c r="AE55" s="128">
        <v>4326.8419999999996</v>
      </c>
      <c r="AF55" s="129">
        <v>1459000</v>
      </c>
      <c r="AG55" s="128">
        <v>1184.971</v>
      </c>
      <c r="AH55" s="129">
        <v>113000</v>
      </c>
      <c r="AI55" s="139">
        <f t="shared" si="4"/>
        <v>3839000</v>
      </c>
      <c r="AJ55" s="106">
        <f t="shared" si="1"/>
        <v>3839000</v>
      </c>
      <c r="AK55" s="188">
        <f t="shared" si="2"/>
        <v>3839000</v>
      </c>
      <c r="AM55" s="192">
        <f t="shared" si="3"/>
        <v>0</v>
      </c>
      <c r="AN55" s="211"/>
      <c r="AO55" s="197">
        <v>0</v>
      </c>
      <c r="AQ55" s="124">
        <f t="shared" si="0"/>
        <v>0</v>
      </c>
    </row>
    <row r="56" spans="1:43" ht="17.25" customHeight="1" x14ac:dyDescent="0.25">
      <c r="A56" s="107">
        <v>53</v>
      </c>
      <c r="B56" s="111">
        <v>391330</v>
      </c>
      <c r="C56" s="110" t="s">
        <v>133</v>
      </c>
      <c r="D56" s="121"/>
      <c r="E56" s="135"/>
      <c r="F56" s="120"/>
      <c r="G56" s="121"/>
      <c r="H56" s="120"/>
      <c r="I56" s="121"/>
      <c r="J56" s="120"/>
      <c r="K56" s="121"/>
      <c r="L56" s="120"/>
      <c r="M56" s="121"/>
      <c r="N56" s="109"/>
      <c r="O56" s="108"/>
      <c r="P56" s="120"/>
      <c r="Q56" s="121"/>
      <c r="R56" s="121">
        <v>0</v>
      </c>
      <c r="S56" s="120"/>
      <c r="T56" s="121"/>
      <c r="U56" s="109"/>
      <c r="V56" s="108"/>
      <c r="W56" s="109"/>
      <c r="X56" s="108"/>
      <c r="Y56" s="109"/>
      <c r="Z56" s="108"/>
      <c r="AA56" s="109">
        <v>0</v>
      </c>
      <c r="AB56" s="108">
        <v>0</v>
      </c>
      <c r="AC56" s="128">
        <v>3596.3690000000001</v>
      </c>
      <c r="AD56" s="129">
        <v>1033000</v>
      </c>
      <c r="AE56" s="128">
        <v>1971.604</v>
      </c>
      <c r="AF56" s="129">
        <v>1823000</v>
      </c>
      <c r="AG56" s="128">
        <v>1480.604</v>
      </c>
      <c r="AH56" s="129">
        <v>142000</v>
      </c>
      <c r="AI56" s="139">
        <f t="shared" si="4"/>
        <v>2998000</v>
      </c>
      <c r="AJ56" s="106">
        <f t="shared" si="1"/>
        <v>2998000</v>
      </c>
      <c r="AK56" s="188">
        <f t="shared" si="2"/>
        <v>2998000</v>
      </c>
      <c r="AM56" s="192">
        <f t="shared" si="3"/>
        <v>0</v>
      </c>
      <c r="AN56" s="211"/>
      <c r="AO56" s="197">
        <v>0</v>
      </c>
      <c r="AQ56" s="124">
        <f t="shared" si="0"/>
        <v>0</v>
      </c>
    </row>
    <row r="57" spans="1:43" ht="17.25" customHeight="1" x14ac:dyDescent="0.25">
      <c r="A57" s="107">
        <v>54</v>
      </c>
      <c r="B57" s="111">
        <v>392330</v>
      </c>
      <c r="C57" s="110" t="s">
        <v>132</v>
      </c>
      <c r="D57" s="121"/>
      <c r="E57" s="135"/>
      <c r="F57" s="120"/>
      <c r="G57" s="121"/>
      <c r="H57" s="120"/>
      <c r="I57" s="121"/>
      <c r="J57" s="120"/>
      <c r="K57" s="121"/>
      <c r="L57" s="120"/>
      <c r="M57" s="121"/>
      <c r="N57" s="109"/>
      <c r="O57" s="108"/>
      <c r="P57" s="120"/>
      <c r="Q57" s="121"/>
      <c r="R57" s="121">
        <v>0</v>
      </c>
      <c r="S57" s="120"/>
      <c r="T57" s="121"/>
      <c r="U57" s="109"/>
      <c r="V57" s="108"/>
      <c r="W57" s="109"/>
      <c r="X57" s="108"/>
      <c r="Y57" s="109"/>
      <c r="Z57" s="108"/>
      <c r="AA57" s="109">
        <v>0</v>
      </c>
      <c r="AB57" s="108">
        <v>0</v>
      </c>
      <c r="AC57" s="128">
        <v>3994.2559999999999</v>
      </c>
      <c r="AD57" s="129">
        <v>1582000</v>
      </c>
      <c r="AE57" s="128">
        <v>3019.4369999999999</v>
      </c>
      <c r="AF57" s="129">
        <v>1094000</v>
      </c>
      <c r="AG57" s="128">
        <v>888.52499999999998</v>
      </c>
      <c r="AH57" s="129">
        <v>85000</v>
      </c>
      <c r="AI57" s="139">
        <f t="shared" si="4"/>
        <v>2761000</v>
      </c>
      <c r="AJ57" s="106">
        <f t="shared" si="1"/>
        <v>2761000</v>
      </c>
      <c r="AK57" s="188">
        <f t="shared" si="2"/>
        <v>2761000</v>
      </c>
      <c r="AM57" s="192">
        <f t="shared" si="3"/>
        <v>0</v>
      </c>
      <c r="AN57" s="211"/>
      <c r="AO57" s="197">
        <v>0</v>
      </c>
      <c r="AQ57" s="124">
        <f t="shared" si="0"/>
        <v>0</v>
      </c>
    </row>
    <row r="58" spans="1:43" ht="17.25" customHeight="1" x14ac:dyDescent="0.25">
      <c r="A58" s="107">
        <v>55</v>
      </c>
      <c r="B58" s="111">
        <v>392350</v>
      </c>
      <c r="C58" s="110" t="s">
        <v>131</v>
      </c>
      <c r="D58" s="121"/>
      <c r="E58" s="135"/>
      <c r="F58" s="120"/>
      <c r="G58" s="121"/>
      <c r="H58" s="120"/>
      <c r="I58" s="121"/>
      <c r="J58" s="120"/>
      <c r="K58" s="121"/>
      <c r="L58" s="120"/>
      <c r="M58" s="121"/>
      <c r="N58" s="109"/>
      <c r="O58" s="108"/>
      <c r="P58" s="120"/>
      <c r="Q58" s="121"/>
      <c r="R58" s="121">
        <v>0</v>
      </c>
      <c r="S58" s="120"/>
      <c r="T58" s="121"/>
      <c r="U58" s="109"/>
      <c r="V58" s="108"/>
      <c r="W58" s="109"/>
      <c r="X58" s="108"/>
      <c r="Y58" s="109"/>
      <c r="Z58" s="108"/>
      <c r="AA58" s="109">
        <v>0</v>
      </c>
      <c r="AB58" s="108">
        <v>0</v>
      </c>
      <c r="AC58" s="128">
        <v>983.67100000000005</v>
      </c>
      <c r="AD58" s="129">
        <v>414000</v>
      </c>
      <c r="AE58" s="128">
        <v>790.16899999999998</v>
      </c>
      <c r="AF58" s="129">
        <v>217000</v>
      </c>
      <c r="AG58" s="128">
        <v>176.24299999999999</v>
      </c>
      <c r="AH58" s="129">
        <v>17000</v>
      </c>
      <c r="AI58" s="139">
        <f t="shared" si="4"/>
        <v>648000</v>
      </c>
      <c r="AJ58" s="106">
        <f t="shared" si="1"/>
        <v>648000</v>
      </c>
      <c r="AK58" s="188">
        <f t="shared" si="2"/>
        <v>648000</v>
      </c>
      <c r="AM58" s="192">
        <f t="shared" si="3"/>
        <v>0</v>
      </c>
      <c r="AN58" s="211"/>
      <c r="AO58" s="197">
        <v>0</v>
      </c>
      <c r="AQ58" s="124">
        <f t="shared" si="0"/>
        <v>0</v>
      </c>
    </row>
    <row r="59" spans="1:43" ht="17.25" customHeight="1" x14ac:dyDescent="0.25">
      <c r="A59" s="107">
        <v>56</v>
      </c>
      <c r="B59" s="111">
        <v>392380</v>
      </c>
      <c r="C59" s="110" t="s">
        <v>130</v>
      </c>
      <c r="D59" s="121"/>
      <c r="E59" s="135"/>
      <c r="F59" s="120"/>
      <c r="G59" s="121"/>
      <c r="H59" s="120"/>
      <c r="I59" s="121"/>
      <c r="J59" s="120"/>
      <c r="K59" s="121"/>
      <c r="L59" s="120"/>
      <c r="M59" s="121"/>
      <c r="N59" s="109"/>
      <c r="O59" s="108"/>
      <c r="P59" s="120"/>
      <c r="Q59" s="121"/>
      <c r="R59" s="121">
        <v>0</v>
      </c>
      <c r="S59" s="120"/>
      <c r="T59" s="121"/>
      <c r="U59" s="109"/>
      <c r="V59" s="108"/>
      <c r="W59" s="109"/>
      <c r="X59" s="108"/>
      <c r="Y59" s="109"/>
      <c r="Z59" s="108"/>
      <c r="AA59" s="109">
        <v>0</v>
      </c>
      <c r="AB59" s="108">
        <v>0</v>
      </c>
      <c r="AC59" s="128">
        <v>3144.96</v>
      </c>
      <c r="AD59" s="129">
        <v>1195000</v>
      </c>
      <c r="AE59" s="128">
        <v>2280.8009999999999</v>
      </c>
      <c r="AF59" s="129">
        <v>994000</v>
      </c>
      <c r="AG59" s="128">
        <v>807.30700000000002</v>
      </c>
      <c r="AH59" s="129">
        <v>56000</v>
      </c>
      <c r="AI59" s="139">
        <f t="shared" si="4"/>
        <v>2245000</v>
      </c>
      <c r="AJ59" s="106">
        <f t="shared" si="1"/>
        <v>2245000</v>
      </c>
      <c r="AK59" s="188">
        <f t="shared" si="2"/>
        <v>2245000</v>
      </c>
      <c r="AM59" s="192">
        <f t="shared" si="3"/>
        <v>0</v>
      </c>
      <c r="AN59" s="211"/>
      <c r="AO59" s="197">
        <v>0</v>
      </c>
      <c r="AQ59" s="124">
        <f t="shared" si="0"/>
        <v>0</v>
      </c>
    </row>
    <row r="60" spans="1:43" ht="17.25" customHeight="1" x14ac:dyDescent="0.25">
      <c r="A60" s="107">
        <v>57</v>
      </c>
      <c r="B60" s="111">
        <v>392610</v>
      </c>
      <c r="C60" s="110" t="s">
        <v>129</v>
      </c>
      <c r="D60" s="121"/>
      <c r="E60" s="135"/>
      <c r="F60" s="120"/>
      <c r="G60" s="121"/>
      <c r="H60" s="120"/>
      <c r="I60" s="121"/>
      <c r="J60" s="120"/>
      <c r="K60" s="121"/>
      <c r="L60" s="120"/>
      <c r="M60" s="121"/>
      <c r="N60" s="109"/>
      <c r="O60" s="108"/>
      <c r="P60" s="120"/>
      <c r="Q60" s="121"/>
      <c r="R60" s="121">
        <v>0</v>
      </c>
      <c r="S60" s="120"/>
      <c r="T60" s="121"/>
      <c r="U60" s="109"/>
      <c r="V60" s="108"/>
      <c r="W60" s="109"/>
      <c r="X60" s="108"/>
      <c r="Y60" s="109"/>
      <c r="Z60" s="108"/>
      <c r="AA60" s="109">
        <v>0</v>
      </c>
      <c r="AB60" s="108">
        <v>0</v>
      </c>
      <c r="AC60" s="128">
        <v>385.988</v>
      </c>
      <c r="AD60" s="129">
        <v>155000</v>
      </c>
      <c r="AE60" s="128">
        <v>295.83600000000001</v>
      </c>
      <c r="AF60" s="129">
        <v>101000</v>
      </c>
      <c r="AG60" s="128">
        <v>82.03</v>
      </c>
      <c r="AH60" s="129">
        <v>8000</v>
      </c>
      <c r="AI60" s="139">
        <f t="shared" si="4"/>
        <v>264000</v>
      </c>
      <c r="AJ60" s="106">
        <f t="shared" si="1"/>
        <v>264000</v>
      </c>
      <c r="AK60" s="188">
        <f t="shared" si="2"/>
        <v>264000</v>
      </c>
      <c r="AM60" s="192">
        <f t="shared" si="3"/>
        <v>0</v>
      </c>
      <c r="AN60" s="211"/>
      <c r="AO60" s="197">
        <v>0</v>
      </c>
      <c r="AQ60" s="124">
        <f t="shared" si="0"/>
        <v>0</v>
      </c>
    </row>
    <row r="61" spans="1:43" ht="17.25" customHeight="1" x14ac:dyDescent="0.25">
      <c r="A61" s="107">
        <v>58</v>
      </c>
      <c r="B61" s="111">
        <v>392620</v>
      </c>
      <c r="C61" s="110" t="s">
        <v>128</v>
      </c>
      <c r="D61" s="121"/>
      <c r="E61" s="135"/>
      <c r="F61" s="120"/>
      <c r="G61" s="121"/>
      <c r="H61" s="120"/>
      <c r="I61" s="121"/>
      <c r="J61" s="120"/>
      <c r="K61" s="121"/>
      <c r="L61" s="120"/>
      <c r="M61" s="121"/>
      <c r="N61" s="109"/>
      <c r="O61" s="108"/>
      <c r="P61" s="120"/>
      <c r="Q61" s="121"/>
      <c r="R61" s="121">
        <v>0</v>
      </c>
      <c r="S61" s="120"/>
      <c r="T61" s="121"/>
      <c r="U61" s="109"/>
      <c r="V61" s="108"/>
      <c r="W61" s="109"/>
      <c r="X61" s="108"/>
      <c r="Y61" s="109"/>
      <c r="Z61" s="108"/>
      <c r="AA61" s="109">
        <v>0</v>
      </c>
      <c r="AB61" s="108">
        <v>0</v>
      </c>
      <c r="AC61" s="128">
        <v>527.83500000000004</v>
      </c>
      <c r="AD61" s="129">
        <v>209000</v>
      </c>
      <c r="AE61" s="128">
        <v>398.90199999999999</v>
      </c>
      <c r="AF61" s="129">
        <v>145000</v>
      </c>
      <c r="AG61" s="128">
        <v>117.76600000000001</v>
      </c>
      <c r="AH61" s="129">
        <v>11000</v>
      </c>
      <c r="AI61" s="139">
        <f t="shared" si="4"/>
        <v>365000</v>
      </c>
      <c r="AJ61" s="106">
        <f>D61+E61+AI61</f>
        <v>365000</v>
      </c>
      <c r="AK61" s="188">
        <f t="shared" si="2"/>
        <v>365000</v>
      </c>
      <c r="AM61" s="192">
        <f t="shared" si="3"/>
        <v>0</v>
      </c>
      <c r="AN61" s="211"/>
      <c r="AO61" s="197">
        <v>0</v>
      </c>
      <c r="AQ61" s="124">
        <f t="shared" si="0"/>
        <v>0</v>
      </c>
    </row>
    <row r="62" spans="1:43" ht="17.25" customHeight="1" x14ac:dyDescent="0.25">
      <c r="A62" s="107">
        <v>59</v>
      </c>
      <c r="B62" s="111">
        <v>391650</v>
      </c>
      <c r="C62" s="212" t="s">
        <v>59</v>
      </c>
      <c r="D62" s="121"/>
      <c r="E62" s="135"/>
      <c r="F62" s="120"/>
      <c r="G62" s="121"/>
      <c r="H62" s="120"/>
      <c r="I62" s="121"/>
      <c r="J62" s="120"/>
      <c r="K62" s="121"/>
      <c r="L62" s="120"/>
      <c r="M62" s="121"/>
      <c r="N62" s="109"/>
      <c r="O62" s="108"/>
      <c r="P62" s="120"/>
      <c r="Q62" s="121"/>
      <c r="R62" s="121"/>
      <c r="S62" s="120"/>
      <c r="T62" s="121"/>
      <c r="U62" s="109"/>
      <c r="V62" s="108"/>
      <c r="W62" s="109" t="e">
        <f>VLOOKUP($B62,'АПП БАЗ (0)'!$B$47:$L$50,10,FALSE)</f>
        <v>#N/A</v>
      </c>
      <c r="X62" s="108" t="e">
        <f>VLOOKUP($B62,'АПП БАЗ (0)'!$B$47:$L$50,11,FALSE)*1000</f>
        <v>#N/A</v>
      </c>
      <c r="Y62" s="109"/>
      <c r="Z62" s="108"/>
      <c r="AA62" s="109">
        <v>0</v>
      </c>
      <c r="AB62" s="108">
        <v>0</v>
      </c>
      <c r="AC62" s="128">
        <v>0</v>
      </c>
      <c r="AD62" s="129">
        <v>0</v>
      </c>
      <c r="AE62" s="128">
        <v>0</v>
      </c>
      <c r="AF62" s="129">
        <v>0</v>
      </c>
      <c r="AG62" s="128">
        <v>0</v>
      </c>
      <c r="AH62" s="129">
        <v>0</v>
      </c>
      <c r="AI62" s="139" t="e">
        <f t="shared" si="4"/>
        <v>#N/A</v>
      </c>
      <c r="AJ62" s="106" t="e">
        <f t="shared" si="1"/>
        <v>#N/A</v>
      </c>
      <c r="AK62" s="188" t="e">
        <f t="shared" si="2"/>
        <v>#N/A</v>
      </c>
      <c r="AM62" s="192" t="e">
        <f t="shared" si="3"/>
        <v>#N/A</v>
      </c>
      <c r="AN62" s="211" t="e">
        <f>VLOOKUP(B62,'АПП БАЗ (0)'!$B$8:$Y$72,14,FALSE)*1000</f>
        <v>#N/A</v>
      </c>
      <c r="AO62" s="197">
        <v>0</v>
      </c>
      <c r="AQ62" s="124" t="e">
        <f t="shared" si="0"/>
        <v>#N/A</v>
      </c>
    </row>
    <row r="63" spans="1:43" ht="17.25" customHeight="1" x14ac:dyDescent="0.25">
      <c r="A63" s="107">
        <v>60</v>
      </c>
      <c r="B63" s="111">
        <v>391850</v>
      </c>
      <c r="C63" s="212" t="s">
        <v>60</v>
      </c>
      <c r="D63" s="121"/>
      <c r="E63" s="135"/>
      <c r="F63" s="120"/>
      <c r="G63" s="121"/>
      <c r="H63" s="120"/>
      <c r="I63" s="121"/>
      <c r="J63" s="120"/>
      <c r="K63" s="121"/>
      <c r="L63" s="120"/>
      <c r="M63" s="121"/>
      <c r="N63" s="109"/>
      <c r="O63" s="108"/>
      <c r="P63" s="120"/>
      <c r="Q63" s="121"/>
      <c r="R63" s="121"/>
      <c r="S63" s="120"/>
      <c r="T63" s="121"/>
      <c r="U63" s="109"/>
      <c r="V63" s="108"/>
      <c r="W63" s="109" t="e">
        <f>VLOOKUP($B63,'АПП БАЗ (0)'!$B$47:$L$50,10,FALSE)</f>
        <v>#N/A</v>
      </c>
      <c r="X63" s="108" t="e">
        <f>VLOOKUP($B63,'АПП БАЗ (0)'!$B$47:$L$50,11,FALSE)*1000</f>
        <v>#N/A</v>
      </c>
      <c r="Y63" s="109"/>
      <c r="Z63" s="108"/>
      <c r="AA63" s="109">
        <v>0</v>
      </c>
      <c r="AB63" s="108">
        <v>0</v>
      </c>
      <c r="AC63" s="128">
        <v>0</v>
      </c>
      <c r="AD63" s="129">
        <v>0</v>
      </c>
      <c r="AE63" s="128">
        <v>0</v>
      </c>
      <c r="AF63" s="129">
        <v>0</v>
      </c>
      <c r="AG63" s="128">
        <v>0</v>
      </c>
      <c r="AH63" s="129">
        <v>0</v>
      </c>
      <c r="AI63" s="139" t="e">
        <f t="shared" si="4"/>
        <v>#N/A</v>
      </c>
      <c r="AJ63" s="106" t="e">
        <f t="shared" si="1"/>
        <v>#N/A</v>
      </c>
      <c r="AK63" s="188" t="e">
        <f t="shared" si="2"/>
        <v>#N/A</v>
      </c>
      <c r="AM63" s="192" t="e">
        <f t="shared" si="3"/>
        <v>#N/A</v>
      </c>
      <c r="AN63" s="211" t="e">
        <f>VLOOKUP(B63,'АПП БАЗ (0)'!$B$8:$Y$72,14,FALSE)*1000</f>
        <v>#N/A</v>
      </c>
      <c r="AO63" s="197">
        <v>0</v>
      </c>
      <c r="AQ63" s="124" t="e">
        <f t="shared" si="0"/>
        <v>#N/A</v>
      </c>
    </row>
    <row r="64" spans="1:43" ht="17.25" customHeight="1" x14ac:dyDescent="0.25">
      <c r="A64" s="107">
        <v>61</v>
      </c>
      <c r="B64" s="111">
        <v>392210</v>
      </c>
      <c r="C64" s="212" t="s">
        <v>62</v>
      </c>
      <c r="D64" s="121"/>
      <c r="E64" s="135"/>
      <c r="F64" s="120"/>
      <c r="G64" s="121"/>
      <c r="H64" s="120"/>
      <c r="I64" s="121"/>
      <c r="J64" s="120"/>
      <c r="K64" s="121"/>
      <c r="L64" s="120"/>
      <c r="M64" s="121"/>
      <c r="N64" s="109"/>
      <c r="O64" s="108"/>
      <c r="P64" s="120"/>
      <c r="Q64" s="121"/>
      <c r="R64" s="121"/>
      <c r="S64" s="120"/>
      <c r="T64" s="121"/>
      <c r="U64" s="109"/>
      <c r="V64" s="108"/>
      <c r="W64" s="109" t="e">
        <f>VLOOKUP($B64,'АПП БАЗ (0)'!$B$47:$L$50,10,FALSE)</f>
        <v>#N/A</v>
      </c>
      <c r="X64" s="108" t="e">
        <f>VLOOKUP($B64,'АПП БАЗ (0)'!$B$47:$L$50,11,FALSE)*1000</f>
        <v>#N/A</v>
      </c>
      <c r="Y64" s="109"/>
      <c r="Z64" s="108"/>
      <c r="AA64" s="109">
        <v>0</v>
      </c>
      <c r="AB64" s="108">
        <v>0</v>
      </c>
      <c r="AC64" s="128">
        <v>0</v>
      </c>
      <c r="AD64" s="129">
        <v>0</v>
      </c>
      <c r="AE64" s="128">
        <v>0</v>
      </c>
      <c r="AF64" s="129">
        <v>0</v>
      </c>
      <c r="AG64" s="128">
        <v>0</v>
      </c>
      <c r="AH64" s="129">
        <v>0</v>
      </c>
      <c r="AI64" s="139" t="e">
        <f t="shared" si="4"/>
        <v>#N/A</v>
      </c>
      <c r="AJ64" s="106" t="e">
        <f>D64+E64+AI64</f>
        <v>#N/A</v>
      </c>
      <c r="AK64" s="188" t="e">
        <f t="shared" si="2"/>
        <v>#N/A</v>
      </c>
      <c r="AM64" s="192" t="e">
        <f t="shared" si="3"/>
        <v>#N/A</v>
      </c>
      <c r="AN64" s="211" t="e">
        <f>VLOOKUP(B64,'АПП БАЗ (0)'!$B$8:$Y$72,14,FALSE)*1000</f>
        <v>#N/A</v>
      </c>
      <c r="AO64" s="197">
        <v>0</v>
      </c>
      <c r="AQ64" s="124" t="e">
        <f t="shared" si="0"/>
        <v>#N/A</v>
      </c>
    </row>
    <row r="65" spans="1:43" ht="17.25" customHeight="1" x14ac:dyDescent="0.25">
      <c r="A65" s="107">
        <v>62</v>
      </c>
      <c r="B65" s="111">
        <v>392300</v>
      </c>
      <c r="C65" s="212" t="s">
        <v>63</v>
      </c>
      <c r="D65" s="121"/>
      <c r="E65" s="135"/>
      <c r="F65" s="120"/>
      <c r="G65" s="121"/>
      <c r="H65" s="120"/>
      <c r="I65" s="121"/>
      <c r="J65" s="120"/>
      <c r="K65" s="121"/>
      <c r="L65" s="120"/>
      <c r="M65" s="121"/>
      <c r="N65" s="109"/>
      <c r="O65" s="108"/>
      <c r="P65" s="120"/>
      <c r="Q65" s="121"/>
      <c r="R65" s="121"/>
      <c r="S65" s="120"/>
      <c r="T65" s="121"/>
      <c r="U65" s="109"/>
      <c r="V65" s="108"/>
      <c r="W65" s="109" t="e">
        <f>VLOOKUP($B65,'АПП БАЗ (0)'!$B$47:$L$50,10,FALSE)</f>
        <v>#N/A</v>
      </c>
      <c r="X65" s="108" t="e">
        <f>VLOOKUP($B65,'АПП БАЗ (0)'!$B$47:$L$50,11,FALSE)*1000</f>
        <v>#N/A</v>
      </c>
      <c r="Y65" s="109"/>
      <c r="Z65" s="108"/>
      <c r="AA65" s="109">
        <v>0</v>
      </c>
      <c r="AB65" s="108">
        <v>0</v>
      </c>
      <c r="AC65" s="128">
        <v>0</v>
      </c>
      <c r="AD65" s="129">
        <v>0</v>
      </c>
      <c r="AE65" s="128">
        <v>0</v>
      </c>
      <c r="AF65" s="129">
        <v>0</v>
      </c>
      <c r="AG65" s="128">
        <v>0</v>
      </c>
      <c r="AH65" s="129">
        <v>0</v>
      </c>
      <c r="AI65" s="139" t="e">
        <f t="shared" si="4"/>
        <v>#N/A</v>
      </c>
      <c r="AJ65" s="106" t="e">
        <f t="shared" si="1"/>
        <v>#N/A</v>
      </c>
      <c r="AK65" s="188" t="e">
        <f t="shared" si="2"/>
        <v>#N/A</v>
      </c>
      <c r="AM65" s="192" t="e">
        <f t="shared" si="3"/>
        <v>#N/A</v>
      </c>
      <c r="AN65" s="211" t="e">
        <f>VLOOKUP(B65,'АПП БАЗ (0)'!$B$8:$Y$72,14,FALSE)*1000</f>
        <v>#N/A</v>
      </c>
      <c r="AO65" s="197">
        <v>0</v>
      </c>
      <c r="AQ65" s="124" t="e">
        <f t="shared" si="0"/>
        <v>#N/A</v>
      </c>
    </row>
    <row r="66" spans="1:43" ht="17.25" customHeight="1" x14ac:dyDescent="0.25">
      <c r="A66" s="107">
        <v>63</v>
      </c>
      <c r="B66" s="111">
        <v>392160</v>
      </c>
      <c r="C66" s="213" t="s">
        <v>179</v>
      </c>
      <c r="D66" s="121"/>
      <c r="E66" s="135"/>
      <c r="F66" s="120"/>
      <c r="G66" s="121"/>
      <c r="H66" s="120"/>
      <c r="I66" s="121"/>
      <c r="J66" s="120"/>
      <c r="K66" s="121"/>
      <c r="L66" s="120"/>
      <c r="M66" s="121"/>
      <c r="N66" s="109"/>
      <c r="O66" s="108"/>
      <c r="P66" s="120"/>
      <c r="Q66" s="121"/>
      <c r="R66" s="121">
        <v>0</v>
      </c>
      <c r="S66" s="120"/>
      <c r="T66" s="121"/>
      <c r="U66" s="109"/>
      <c r="V66" s="108"/>
      <c r="W66" s="109"/>
      <c r="X66" s="108"/>
      <c r="Y66" s="109"/>
      <c r="Z66" s="108"/>
      <c r="AA66" s="109">
        <v>0</v>
      </c>
      <c r="AB66" s="108">
        <v>0</v>
      </c>
      <c r="AC66" s="128">
        <v>0</v>
      </c>
      <c r="AD66" s="129">
        <v>0</v>
      </c>
      <c r="AE66" s="128">
        <v>0</v>
      </c>
      <c r="AF66" s="129">
        <v>0</v>
      </c>
      <c r="AG66" s="128">
        <v>0</v>
      </c>
      <c r="AH66" s="129">
        <v>0</v>
      </c>
      <c r="AI66" s="139">
        <f t="shared" si="4"/>
        <v>0</v>
      </c>
      <c r="AJ66" s="106">
        <f t="shared" si="1"/>
        <v>0</v>
      </c>
      <c r="AK66" s="188">
        <f t="shared" si="2"/>
        <v>0</v>
      </c>
      <c r="AM66" s="192">
        <f t="shared" si="3"/>
        <v>0</v>
      </c>
      <c r="AN66" s="211"/>
      <c r="AO66" s="197">
        <v>0</v>
      </c>
      <c r="AQ66" s="124">
        <f t="shared" si="0"/>
        <v>0</v>
      </c>
    </row>
    <row r="67" spans="1:43" ht="17.25" customHeight="1" x14ac:dyDescent="0.25">
      <c r="A67" s="107">
        <v>64</v>
      </c>
      <c r="B67" s="111">
        <v>390782</v>
      </c>
      <c r="C67" s="213" t="s">
        <v>57</v>
      </c>
      <c r="D67" s="121"/>
      <c r="E67" s="135"/>
      <c r="F67" s="120"/>
      <c r="G67" s="121"/>
      <c r="H67" s="120"/>
      <c r="I67" s="121"/>
      <c r="J67" s="120"/>
      <c r="K67" s="121"/>
      <c r="L67" s="120"/>
      <c r="M67" s="121"/>
      <c r="N67" s="109"/>
      <c r="O67" s="108"/>
      <c r="P67" s="120"/>
      <c r="Q67" s="121"/>
      <c r="R67" s="121">
        <v>0</v>
      </c>
      <c r="S67" s="120">
        <v>931</v>
      </c>
      <c r="T67" s="121">
        <v>70842160.060000002</v>
      </c>
      <c r="U67" s="109"/>
      <c r="V67" s="108"/>
      <c r="W67" s="109"/>
      <c r="X67" s="108"/>
      <c r="Y67" s="109"/>
      <c r="Z67" s="108"/>
      <c r="AA67" s="109">
        <v>0</v>
      </c>
      <c r="AB67" s="108">
        <v>0</v>
      </c>
      <c r="AC67" s="128">
        <v>0</v>
      </c>
      <c r="AD67" s="129">
        <v>0</v>
      </c>
      <c r="AE67" s="128">
        <v>0</v>
      </c>
      <c r="AF67" s="129">
        <v>0</v>
      </c>
      <c r="AG67" s="128">
        <v>0</v>
      </c>
      <c r="AH67" s="129">
        <v>0</v>
      </c>
      <c r="AI67" s="139">
        <f t="shared" si="4"/>
        <v>70842160.060000002</v>
      </c>
      <c r="AJ67" s="106">
        <f t="shared" si="1"/>
        <v>70842160.060000002</v>
      </c>
      <c r="AK67" s="188">
        <f t="shared" si="2"/>
        <v>70842160.060000002</v>
      </c>
      <c r="AM67" s="192">
        <f t="shared" si="3"/>
        <v>70842160.060000002</v>
      </c>
      <c r="AN67" s="211">
        <f>VLOOKUP(B67,'АПП БАЗ (0)'!$B$8:$Y$72,14,FALSE)*1000</f>
        <v>0</v>
      </c>
      <c r="AO67" s="197">
        <v>0</v>
      </c>
      <c r="AQ67" s="124">
        <f t="shared" si="0"/>
        <v>-70842160.060000002</v>
      </c>
    </row>
    <row r="68" spans="1:43" ht="17.25" customHeight="1" x14ac:dyDescent="0.25">
      <c r="A68" s="107">
        <v>65</v>
      </c>
      <c r="B68" s="111">
        <v>392080</v>
      </c>
      <c r="C68" s="125" t="s">
        <v>58</v>
      </c>
      <c r="D68" s="121"/>
      <c r="E68" s="135"/>
      <c r="F68" s="120"/>
      <c r="G68" s="121"/>
      <c r="H68" s="120"/>
      <c r="I68" s="121"/>
      <c r="J68" s="120"/>
      <c r="K68" s="121"/>
      <c r="L68" s="120"/>
      <c r="M68" s="121"/>
      <c r="N68" s="109"/>
      <c r="O68" s="108"/>
      <c r="P68" s="120"/>
      <c r="Q68" s="121"/>
      <c r="R68" s="121">
        <v>0</v>
      </c>
      <c r="S68" s="120">
        <v>374</v>
      </c>
      <c r="T68" s="121">
        <v>32753400.629999999</v>
      </c>
      <c r="U68" s="109"/>
      <c r="V68" s="108"/>
      <c r="W68" s="109"/>
      <c r="X68" s="108"/>
      <c r="Y68" s="109"/>
      <c r="Z68" s="108"/>
      <c r="AA68" s="109">
        <v>0</v>
      </c>
      <c r="AB68" s="108">
        <v>0</v>
      </c>
      <c r="AC68" s="128">
        <v>0</v>
      </c>
      <c r="AD68" s="129">
        <v>0</v>
      </c>
      <c r="AE68" s="128">
        <v>0</v>
      </c>
      <c r="AF68" s="129">
        <v>0</v>
      </c>
      <c r="AG68" s="128">
        <v>0</v>
      </c>
      <c r="AH68" s="129">
        <v>0</v>
      </c>
      <c r="AI68" s="139">
        <f t="shared" si="4"/>
        <v>32753400.629999999</v>
      </c>
      <c r="AJ68" s="106">
        <f t="shared" si="1"/>
        <v>32753400.629999999</v>
      </c>
      <c r="AK68" s="188">
        <f t="shared" si="2"/>
        <v>32753400.629999999</v>
      </c>
      <c r="AM68" s="192">
        <f t="shared" si="3"/>
        <v>32753400.629999999</v>
      </c>
      <c r="AN68" s="211">
        <f>VLOOKUP(B68,'АПП БАЗ (0)'!$B$8:$Y$72,14,FALSE)*1000</f>
        <v>0</v>
      </c>
      <c r="AO68" s="197">
        <v>0</v>
      </c>
      <c r="AQ68" s="124">
        <f t="shared" ref="AQ68:AQ87" si="10">AN68-AM68</f>
        <v>-32753400.629999999</v>
      </c>
    </row>
    <row r="69" spans="1:43" ht="17.25" customHeight="1" x14ac:dyDescent="0.25">
      <c r="A69" s="107">
        <v>66</v>
      </c>
      <c r="B69" s="111">
        <v>392400</v>
      </c>
      <c r="C69" s="110" t="s">
        <v>51</v>
      </c>
      <c r="D69" s="121"/>
      <c r="E69" s="135"/>
      <c r="F69" s="120"/>
      <c r="G69" s="121"/>
      <c r="H69" s="120"/>
      <c r="I69" s="121"/>
      <c r="J69" s="120"/>
      <c r="K69" s="121"/>
      <c r="L69" s="120"/>
      <c r="M69" s="121"/>
      <c r="N69" s="109"/>
      <c r="O69" s="108"/>
      <c r="P69" s="120">
        <v>900</v>
      </c>
      <c r="Q69" s="121">
        <v>1112832</v>
      </c>
      <c r="R69" s="121">
        <v>0</v>
      </c>
      <c r="S69" s="120"/>
      <c r="T69" s="121"/>
      <c r="U69" s="109">
        <v>30</v>
      </c>
      <c r="V69" s="108">
        <v>8609.7000000000007</v>
      </c>
      <c r="W69" s="109"/>
      <c r="X69" s="108"/>
      <c r="Y69" s="109"/>
      <c r="Z69" s="108"/>
      <c r="AA69" s="109">
        <v>0</v>
      </c>
      <c r="AB69" s="108">
        <v>0</v>
      </c>
      <c r="AC69" s="128">
        <v>0</v>
      </c>
      <c r="AD69" s="129">
        <v>0</v>
      </c>
      <c r="AE69" s="128">
        <v>0</v>
      </c>
      <c r="AF69" s="129">
        <v>0</v>
      </c>
      <c r="AG69" s="128">
        <v>0</v>
      </c>
      <c r="AH69" s="129">
        <v>0</v>
      </c>
      <c r="AI69" s="139">
        <f t="shared" si="4"/>
        <v>1121441.7</v>
      </c>
      <c r="AJ69" s="106">
        <f t="shared" ref="AJ69:AJ86" si="11">D69+E69+AI69</f>
        <v>1121441.7</v>
      </c>
      <c r="AK69" s="188">
        <f t="shared" ref="AK69:AK86" si="12">AI69-R69</f>
        <v>1121441.7</v>
      </c>
      <c r="AM69" s="192">
        <f t="shared" ref="AM69:AM87" si="13">AJ69-AH69-AF69-AD69</f>
        <v>1121441.7</v>
      </c>
      <c r="AN69" s="211">
        <f>VLOOKUP(B69,'АПП БАЗ (0)'!$B$8:$Y$72,14,FALSE)*1000</f>
        <v>0</v>
      </c>
      <c r="AO69" s="197">
        <v>0</v>
      </c>
      <c r="AQ69" s="124">
        <f t="shared" si="10"/>
        <v>-1121441.7</v>
      </c>
    </row>
    <row r="70" spans="1:43" ht="17.25" customHeight="1" x14ac:dyDescent="0.25">
      <c r="A70" s="107">
        <v>67</v>
      </c>
      <c r="B70" s="111">
        <v>391492</v>
      </c>
      <c r="C70" s="110" t="s">
        <v>127</v>
      </c>
      <c r="D70" s="121"/>
      <c r="E70" s="135"/>
      <c r="F70" s="120"/>
      <c r="G70" s="121"/>
      <c r="H70" s="120"/>
      <c r="I70" s="121"/>
      <c r="J70" s="120"/>
      <c r="K70" s="121"/>
      <c r="L70" s="120"/>
      <c r="M70" s="121"/>
      <c r="N70" s="109"/>
      <c r="O70" s="108"/>
      <c r="P70" s="120"/>
      <c r="Q70" s="121"/>
      <c r="R70" s="121">
        <v>0</v>
      </c>
      <c r="S70" s="120"/>
      <c r="T70" s="121"/>
      <c r="U70" s="109"/>
      <c r="V70" s="108"/>
      <c r="W70" s="109"/>
      <c r="X70" s="108"/>
      <c r="Y70" s="109"/>
      <c r="Z70" s="108"/>
      <c r="AA70" s="109">
        <v>0</v>
      </c>
      <c r="AB70" s="108">
        <v>0</v>
      </c>
      <c r="AC70" s="128">
        <v>0</v>
      </c>
      <c r="AD70" s="129">
        <v>0</v>
      </c>
      <c r="AE70" s="128">
        <v>0</v>
      </c>
      <c r="AF70" s="129">
        <v>0</v>
      </c>
      <c r="AG70" s="128">
        <v>0</v>
      </c>
      <c r="AH70" s="129">
        <v>0</v>
      </c>
      <c r="AI70" s="139">
        <f t="shared" ref="AI70:AI86" si="14">Q70+R70+T70+V70+X70+Z70+AB70+AD70+AF70+AH70</f>
        <v>0</v>
      </c>
      <c r="AJ70" s="106">
        <f t="shared" si="11"/>
        <v>0</v>
      </c>
      <c r="AK70" s="188">
        <f t="shared" si="12"/>
        <v>0</v>
      </c>
      <c r="AM70" s="192">
        <f t="shared" si="13"/>
        <v>0</v>
      </c>
      <c r="AN70" s="211">
        <f>VLOOKUP(B70,'АПП БАЗ (0)'!$B$8:$Y$72,14,FALSE)*1000</f>
        <v>0</v>
      </c>
      <c r="AO70" s="197">
        <v>0</v>
      </c>
      <c r="AQ70" s="124">
        <f t="shared" si="10"/>
        <v>0</v>
      </c>
    </row>
    <row r="71" spans="1:43" ht="17.25" customHeight="1" x14ac:dyDescent="0.25">
      <c r="A71" s="107">
        <v>68</v>
      </c>
      <c r="B71" s="111">
        <v>392320</v>
      </c>
      <c r="C71" s="110" t="s">
        <v>52</v>
      </c>
      <c r="D71" s="121"/>
      <c r="E71" s="135"/>
      <c r="F71" s="120"/>
      <c r="G71" s="121"/>
      <c r="H71" s="120"/>
      <c r="I71" s="121"/>
      <c r="J71" s="120"/>
      <c r="K71" s="121"/>
      <c r="L71" s="120"/>
      <c r="M71" s="121"/>
      <c r="N71" s="109"/>
      <c r="O71" s="108"/>
      <c r="P71" s="120">
        <v>650</v>
      </c>
      <c r="Q71" s="121">
        <v>803712</v>
      </c>
      <c r="R71" s="121">
        <v>0</v>
      </c>
      <c r="S71" s="120"/>
      <c r="T71" s="121"/>
      <c r="U71" s="109"/>
      <c r="V71" s="108"/>
      <c r="W71" s="109"/>
      <c r="X71" s="108"/>
      <c r="Y71" s="109"/>
      <c r="Z71" s="108"/>
      <c r="AA71" s="109">
        <v>0</v>
      </c>
      <c r="AB71" s="108">
        <v>0</v>
      </c>
      <c r="AC71" s="128">
        <v>0</v>
      </c>
      <c r="AD71" s="129">
        <v>0</v>
      </c>
      <c r="AE71" s="128">
        <v>0</v>
      </c>
      <c r="AF71" s="129">
        <v>0</v>
      </c>
      <c r="AG71" s="128">
        <v>0</v>
      </c>
      <c r="AH71" s="129">
        <v>0</v>
      </c>
      <c r="AI71" s="139">
        <f t="shared" si="14"/>
        <v>803712</v>
      </c>
      <c r="AJ71" s="106">
        <f t="shared" si="11"/>
        <v>803712</v>
      </c>
      <c r="AK71" s="188">
        <f t="shared" si="12"/>
        <v>803712</v>
      </c>
      <c r="AM71" s="192">
        <f t="shared" si="13"/>
        <v>803712</v>
      </c>
      <c r="AN71" s="211">
        <f>VLOOKUP(B71,'АПП БАЗ (0)'!$B$8:$Y$72,14,FALSE)*1000</f>
        <v>0</v>
      </c>
      <c r="AO71" s="197">
        <v>0</v>
      </c>
      <c r="AQ71" s="124">
        <f t="shared" si="10"/>
        <v>-803712</v>
      </c>
    </row>
    <row r="72" spans="1:43" ht="17.25" customHeight="1" x14ac:dyDescent="0.25">
      <c r="A72" s="107">
        <v>69</v>
      </c>
      <c r="B72" s="111">
        <v>391310</v>
      </c>
      <c r="C72" s="110" t="s">
        <v>53</v>
      </c>
      <c r="D72" s="121"/>
      <c r="E72" s="135"/>
      <c r="F72" s="120"/>
      <c r="G72" s="121"/>
      <c r="H72" s="120"/>
      <c r="I72" s="121"/>
      <c r="J72" s="120"/>
      <c r="K72" s="121"/>
      <c r="L72" s="120"/>
      <c r="M72" s="121"/>
      <c r="N72" s="109"/>
      <c r="O72" s="108"/>
      <c r="P72" s="120">
        <v>100</v>
      </c>
      <c r="Q72" s="121">
        <v>123648</v>
      </c>
      <c r="R72" s="121">
        <v>0</v>
      </c>
      <c r="S72" s="120"/>
      <c r="T72" s="121"/>
      <c r="U72" s="109">
        <v>1200</v>
      </c>
      <c r="V72" s="108">
        <v>344388</v>
      </c>
      <c r="W72" s="109"/>
      <c r="X72" s="108"/>
      <c r="Y72" s="109"/>
      <c r="Z72" s="108"/>
      <c r="AA72" s="109">
        <v>0</v>
      </c>
      <c r="AB72" s="108">
        <v>0</v>
      </c>
      <c r="AC72" s="128">
        <v>0</v>
      </c>
      <c r="AD72" s="129">
        <v>0</v>
      </c>
      <c r="AE72" s="128">
        <v>0</v>
      </c>
      <c r="AF72" s="129">
        <v>0</v>
      </c>
      <c r="AG72" s="128">
        <v>0</v>
      </c>
      <c r="AH72" s="129">
        <v>0</v>
      </c>
      <c r="AI72" s="139">
        <f t="shared" si="14"/>
        <v>468036</v>
      </c>
      <c r="AJ72" s="106">
        <f t="shared" si="11"/>
        <v>468036</v>
      </c>
      <c r="AK72" s="188">
        <f t="shared" si="12"/>
        <v>468036</v>
      </c>
      <c r="AM72" s="192">
        <f t="shared" si="13"/>
        <v>468036</v>
      </c>
      <c r="AN72" s="211">
        <f>VLOOKUP(B72,'АПП БАЗ (0)'!$B$8:$Y$72,14,FALSE)*1000</f>
        <v>0</v>
      </c>
      <c r="AO72" s="197">
        <v>0</v>
      </c>
      <c r="AQ72" s="124">
        <f t="shared" si="10"/>
        <v>-468036</v>
      </c>
    </row>
    <row r="73" spans="1:43" ht="17.25" customHeight="1" x14ac:dyDescent="0.25">
      <c r="A73" s="107">
        <v>70</v>
      </c>
      <c r="B73" s="111">
        <v>392590</v>
      </c>
      <c r="C73" s="110" t="s">
        <v>54</v>
      </c>
      <c r="D73" s="121"/>
      <c r="E73" s="135"/>
      <c r="F73" s="120"/>
      <c r="G73" s="121"/>
      <c r="H73" s="120"/>
      <c r="I73" s="121"/>
      <c r="J73" s="120"/>
      <c r="K73" s="121"/>
      <c r="L73" s="120"/>
      <c r="M73" s="121"/>
      <c r="N73" s="109"/>
      <c r="O73" s="108"/>
      <c r="P73" s="120">
        <v>20</v>
      </c>
      <c r="Q73" s="121">
        <v>24729.599999999999</v>
      </c>
      <c r="R73" s="121">
        <v>0</v>
      </c>
      <c r="S73" s="120"/>
      <c r="T73" s="121"/>
      <c r="U73" s="109">
        <v>10</v>
      </c>
      <c r="V73" s="108">
        <v>2869.9</v>
      </c>
      <c r="W73" s="109"/>
      <c r="X73" s="108"/>
      <c r="Y73" s="109"/>
      <c r="Z73" s="108"/>
      <c r="AA73" s="109">
        <v>0</v>
      </c>
      <c r="AB73" s="108">
        <v>0</v>
      </c>
      <c r="AC73" s="128">
        <v>0</v>
      </c>
      <c r="AD73" s="129">
        <v>0</v>
      </c>
      <c r="AE73" s="128">
        <v>0</v>
      </c>
      <c r="AF73" s="129">
        <v>0</v>
      </c>
      <c r="AG73" s="128">
        <v>0</v>
      </c>
      <c r="AH73" s="129">
        <v>0</v>
      </c>
      <c r="AI73" s="139">
        <f t="shared" si="14"/>
        <v>27599.5</v>
      </c>
      <c r="AJ73" s="106">
        <f t="shared" si="11"/>
        <v>27599.5</v>
      </c>
      <c r="AK73" s="188">
        <f t="shared" si="12"/>
        <v>27599.5</v>
      </c>
      <c r="AM73" s="192">
        <f t="shared" si="13"/>
        <v>27599.5</v>
      </c>
      <c r="AN73" s="211" t="e">
        <f>VLOOKUP(B73,'АПП БАЗ (0)'!$B$8:$Y$72,14,FALSE)*1000</f>
        <v>#N/A</v>
      </c>
      <c r="AO73" s="197">
        <v>0</v>
      </c>
      <c r="AQ73" s="124" t="e">
        <f t="shared" si="10"/>
        <v>#N/A</v>
      </c>
    </row>
    <row r="74" spans="1:43" ht="17.25" customHeight="1" x14ac:dyDescent="0.25">
      <c r="A74" s="107">
        <v>71</v>
      </c>
      <c r="B74" s="111">
        <v>392760</v>
      </c>
      <c r="C74" s="110" t="s">
        <v>126</v>
      </c>
      <c r="D74" s="121"/>
      <c r="E74" s="135"/>
      <c r="F74" s="120"/>
      <c r="G74" s="121"/>
      <c r="H74" s="120"/>
      <c r="I74" s="121"/>
      <c r="J74" s="120"/>
      <c r="K74" s="121"/>
      <c r="L74" s="120"/>
      <c r="M74" s="121"/>
      <c r="N74" s="109"/>
      <c r="O74" s="108"/>
      <c r="P74" s="120"/>
      <c r="Q74" s="121"/>
      <c r="R74" s="121">
        <v>0</v>
      </c>
      <c r="S74" s="120"/>
      <c r="T74" s="121"/>
      <c r="U74" s="109"/>
      <c r="V74" s="108"/>
      <c r="W74" s="109"/>
      <c r="X74" s="108"/>
      <c r="Y74" s="109"/>
      <c r="Z74" s="108"/>
      <c r="AA74" s="109">
        <v>0</v>
      </c>
      <c r="AB74" s="108">
        <v>0</v>
      </c>
      <c r="AC74" s="128">
        <v>0</v>
      </c>
      <c r="AD74" s="129">
        <v>0</v>
      </c>
      <c r="AE74" s="128">
        <v>0</v>
      </c>
      <c r="AF74" s="129">
        <v>0</v>
      </c>
      <c r="AG74" s="128">
        <v>0</v>
      </c>
      <c r="AH74" s="129">
        <v>0</v>
      </c>
      <c r="AI74" s="139">
        <f t="shared" si="14"/>
        <v>0</v>
      </c>
      <c r="AJ74" s="106">
        <f t="shared" si="11"/>
        <v>0</v>
      </c>
      <c r="AK74" s="188">
        <f t="shared" si="12"/>
        <v>0</v>
      </c>
      <c r="AM74" s="192">
        <f t="shared" si="13"/>
        <v>0</v>
      </c>
      <c r="AN74" s="211">
        <f>VLOOKUP(B74,'АПП БАЗ (0)'!$B$8:$Y$72,14,FALSE)*1000</f>
        <v>0</v>
      </c>
      <c r="AO74" s="197">
        <v>0</v>
      </c>
      <c r="AQ74" s="124">
        <f t="shared" si="10"/>
        <v>0</v>
      </c>
    </row>
    <row r="75" spans="1:43" ht="17.25" customHeight="1" x14ac:dyDescent="0.25">
      <c r="A75" s="107">
        <v>72</v>
      </c>
      <c r="B75" s="111">
        <v>392770</v>
      </c>
      <c r="C75" s="110" t="s">
        <v>55</v>
      </c>
      <c r="D75" s="121"/>
      <c r="E75" s="135"/>
      <c r="F75" s="120"/>
      <c r="G75" s="121"/>
      <c r="H75" s="120"/>
      <c r="I75" s="121"/>
      <c r="J75" s="120"/>
      <c r="K75" s="121"/>
      <c r="L75" s="120"/>
      <c r="M75" s="121"/>
      <c r="N75" s="109"/>
      <c r="O75" s="108"/>
      <c r="P75" s="120">
        <v>100</v>
      </c>
      <c r="Q75" s="121">
        <v>123648</v>
      </c>
      <c r="R75" s="121">
        <v>0</v>
      </c>
      <c r="S75" s="120"/>
      <c r="T75" s="121"/>
      <c r="U75" s="109">
        <v>10</v>
      </c>
      <c r="V75" s="108">
        <v>2869.9</v>
      </c>
      <c r="W75" s="109"/>
      <c r="X75" s="108"/>
      <c r="Y75" s="109"/>
      <c r="Z75" s="108"/>
      <c r="AA75" s="109">
        <v>0</v>
      </c>
      <c r="AB75" s="108">
        <v>0</v>
      </c>
      <c r="AC75" s="128">
        <v>0</v>
      </c>
      <c r="AD75" s="129">
        <v>0</v>
      </c>
      <c r="AE75" s="128">
        <v>0</v>
      </c>
      <c r="AF75" s="129">
        <v>0</v>
      </c>
      <c r="AG75" s="128">
        <v>0</v>
      </c>
      <c r="AH75" s="129">
        <v>0</v>
      </c>
      <c r="AI75" s="139">
        <f t="shared" si="14"/>
        <v>126517.9</v>
      </c>
      <c r="AJ75" s="106">
        <f t="shared" si="11"/>
        <v>126517.9</v>
      </c>
      <c r="AK75" s="188">
        <f t="shared" si="12"/>
        <v>126517.9</v>
      </c>
      <c r="AM75" s="192">
        <f t="shared" si="13"/>
        <v>126517.9</v>
      </c>
      <c r="AN75" s="211" t="e">
        <f>VLOOKUP(B75,'АПП БАЗ (0)'!$B$8:$Y$72,14,FALSE)*1000</f>
        <v>#N/A</v>
      </c>
      <c r="AO75" s="197">
        <v>0</v>
      </c>
      <c r="AQ75" s="124" t="e">
        <f t="shared" si="10"/>
        <v>#N/A</v>
      </c>
    </row>
    <row r="76" spans="1:43" ht="17.25" customHeight="1" x14ac:dyDescent="0.25">
      <c r="A76" s="107">
        <v>73</v>
      </c>
      <c r="B76" s="111">
        <v>392120</v>
      </c>
      <c r="C76" s="110" t="s">
        <v>56</v>
      </c>
      <c r="D76" s="121"/>
      <c r="E76" s="135"/>
      <c r="F76" s="120"/>
      <c r="G76" s="121"/>
      <c r="H76" s="120"/>
      <c r="I76" s="121"/>
      <c r="J76" s="120"/>
      <c r="K76" s="121"/>
      <c r="L76" s="120"/>
      <c r="M76" s="121"/>
      <c r="N76" s="109"/>
      <c r="O76" s="108"/>
      <c r="P76" s="120">
        <v>20</v>
      </c>
      <c r="Q76" s="121">
        <v>24729.599999999999</v>
      </c>
      <c r="R76" s="121">
        <v>0</v>
      </c>
      <c r="S76" s="120"/>
      <c r="T76" s="121"/>
      <c r="U76" s="109">
        <v>10</v>
      </c>
      <c r="V76" s="108">
        <v>2869.9</v>
      </c>
      <c r="W76" s="109"/>
      <c r="X76" s="108"/>
      <c r="Y76" s="109"/>
      <c r="Z76" s="108"/>
      <c r="AA76" s="109">
        <v>10</v>
      </c>
      <c r="AB76" s="108">
        <v>6279.1</v>
      </c>
      <c r="AC76" s="128">
        <v>0</v>
      </c>
      <c r="AD76" s="129">
        <v>0</v>
      </c>
      <c r="AE76" s="128">
        <v>0</v>
      </c>
      <c r="AF76" s="129">
        <v>0</v>
      </c>
      <c r="AG76" s="128">
        <v>0</v>
      </c>
      <c r="AH76" s="129">
        <v>0</v>
      </c>
      <c r="AI76" s="139">
        <f t="shared" si="14"/>
        <v>33878.6</v>
      </c>
      <c r="AJ76" s="106">
        <f>D76+E76+AI76</f>
        <v>33878.6</v>
      </c>
      <c r="AK76" s="188">
        <f t="shared" si="12"/>
        <v>33878.6</v>
      </c>
      <c r="AM76" s="192">
        <f t="shared" si="13"/>
        <v>33878.6</v>
      </c>
      <c r="AN76" s="211" t="e">
        <f>VLOOKUP(B76,'АПП БАЗ (0)'!$B$8:$Y$72,14,FALSE)*1000</f>
        <v>#N/A</v>
      </c>
      <c r="AO76" s="197">
        <v>0</v>
      </c>
      <c r="AQ76" s="124" t="e">
        <f t="shared" si="10"/>
        <v>#N/A</v>
      </c>
    </row>
    <row r="77" spans="1:43" ht="17.25" customHeight="1" x14ac:dyDescent="0.25">
      <c r="A77" s="107">
        <v>74</v>
      </c>
      <c r="B77" s="111">
        <v>392750</v>
      </c>
      <c r="C77" s="110" t="s">
        <v>65</v>
      </c>
      <c r="D77" s="121"/>
      <c r="E77" s="135"/>
      <c r="F77" s="120"/>
      <c r="G77" s="121"/>
      <c r="H77" s="120"/>
      <c r="I77" s="121"/>
      <c r="J77" s="120"/>
      <c r="K77" s="121"/>
      <c r="L77" s="120"/>
      <c r="M77" s="121"/>
      <c r="N77" s="109"/>
      <c r="O77" s="108"/>
      <c r="P77" s="120"/>
      <c r="Q77" s="121"/>
      <c r="R77" s="121"/>
      <c r="S77" s="120"/>
      <c r="T77" s="121"/>
      <c r="U77" s="109"/>
      <c r="V77" s="108"/>
      <c r="W77" s="109"/>
      <c r="X77" s="108"/>
      <c r="Y77" s="109"/>
      <c r="Z77" s="108"/>
      <c r="AA77" s="109"/>
      <c r="AB77" s="108"/>
      <c r="AC77" s="128">
        <v>0</v>
      </c>
      <c r="AD77" s="129">
        <v>0</v>
      </c>
      <c r="AE77" s="128">
        <v>0</v>
      </c>
      <c r="AF77" s="129">
        <v>0</v>
      </c>
      <c r="AG77" s="128">
        <v>0</v>
      </c>
      <c r="AH77" s="129">
        <v>0</v>
      </c>
      <c r="AI77" s="139">
        <f t="shared" si="14"/>
        <v>0</v>
      </c>
      <c r="AJ77" s="106">
        <f t="shared" si="11"/>
        <v>0</v>
      </c>
      <c r="AK77" s="188">
        <f t="shared" si="12"/>
        <v>0</v>
      </c>
      <c r="AM77" s="192">
        <f t="shared" si="13"/>
        <v>0</v>
      </c>
      <c r="AN77" s="211">
        <f>VLOOKUP(B77,'АПП БАЗ (0)'!$B$8:$Y$72,14,FALSE)*1000</f>
        <v>0</v>
      </c>
      <c r="AO77" s="197">
        <v>0</v>
      </c>
      <c r="AQ77" s="124">
        <f t="shared" si="10"/>
        <v>0</v>
      </c>
    </row>
    <row r="78" spans="1:43" ht="17.25" customHeight="1" x14ac:dyDescent="0.25">
      <c r="A78" s="107">
        <v>75</v>
      </c>
      <c r="B78" s="111">
        <v>392470</v>
      </c>
      <c r="C78" s="110" t="s">
        <v>67</v>
      </c>
      <c r="D78" s="121"/>
      <c r="E78" s="135"/>
      <c r="F78" s="120"/>
      <c r="G78" s="121"/>
      <c r="H78" s="120"/>
      <c r="I78" s="121"/>
      <c r="J78" s="120"/>
      <c r="K78" s="121"/>
      <c r="L78" s="120"/>
      <c r="M78" s="121"/>
      <c r="N78" s="109"/>
      <c r="O78" s="108"/>
      <c r="P78" s="120"/>
      <c r="Q78" s="121"/>
      <c r="R78" s="121">
        <v>0</v>
      </c>
      <c r="S78" s="120"/>
      <c r="T78" s="121"/>
      <c r="U78" s="109"/>
      <c r="V78" s="108"/>
      <c r="W78" s="109"/>
      <c r="X78" s="108"/>
      <c r="Y78" s="109"/>
      <c r="Z78" s="108"/>
      <c r="AA78" s="109">
        <v>0</v>
      </c>
      <c r="AB78" s="108">
        <v>0</v>
      </c>
      <c r="AC78" s="128">
        <v>0</v>
      </c>
      <c r="AD78" s="129">
        <v>0</v>
      </c>
      <c r="AE78" s="128">
        <v>0</v>
      </c>
      <c r="AF78" s="129">
        <v>0</v>
      </c>
      <c r="AG78" s="128">
        <v>0</v>
      </c>
      <c r="AH78" s="129">
        <v>0</v>
      </c>
      <c r="AI78" s="139">
        <f t="shared" si="14"/>
        <v>0</v>
      </c>
      <c r="AJ78" s="106">
        <f t="shared" si="11"/>
        <v>0</v>
      </c>
      <c r="AK78" s="188">
        <f t="shared" si="12"/>
        <v>0</v>
      </c>
      <c r="AM78" s="192">
        <f t="shared" si="13"/>
        <v>0</v>
      </c>
      <c r="AN78" s="211">
        <f>VLOOKUP(B78,'АПП БАЗ (0)'!$B$8:$Y$72,14,FALSE)*1000</f>
        <v>0</v>
      </c>
      <c r="AO78" s="197">
        <v>0</v>
      </c>
      <c r="AQ78" s="124">
        <f t="shared" si="10"/>
        <v>0</v>
      </c>
    </row>
    <row r="79" spans="1:43" ht="17.25" customHeight="1" x14ac:dyDescent="0.25">
      <c r="A79" s="107">
        <v>76</v>
      </c>
      <c r="B79" s="111">
        <v>391960</v>
      </c>
      <c r="C79" s="110" t="s">
        <v>120</v>
      </c>
      <c r="D79" s="121"/>
      <c r="E79" s="135"/>
      <c r="F79" s="120"/>
      <c r="G79" s="121"/>
      <c r="H79" s="120"/>
      <c r="I79" s="121"/>
      <c r="J79" s="120"/>
      <c r="K79" s="121"/>
      <c r="L79" s="120"/>
      <c r="M79" s="121"/>
      <c r="N79" s="109"/>
      <c r="O79" s="108"/>
      <c r="P79" s="120"/>
      <c r="Q79" s="121"/>
      <c r="R79" s="121">
        <v>0</v>
      </c>
      <c r="S79" s="120"/>
      <c r="T79" s="121"/>
      <c r="U79" s="109"/>
      <c r="V79" s="108"/>
      <c r="W79" s="109"/>
      <c r="X79" s="108"/>
      <c r="Y79" s="109"/>
      <c r="Z79" s="108"/>
      <c r="AA79" s="109">
        <v>0</v>
      </c>
      <c r="AB79" s="108">
        <v>0</v>
      </c>
      <c r="AC79" s="128">
        <v>0</v>
      </c>
      <c r="AD79" s="129">
        <v>0</v>
      </c>
      <c r="AE79" s="128">
        <v>0</v>
      </c>
      <c r="AF79" s="129">
        <v>0</v>
      </c>
      <c r="AG79" s="128">
        <v>0</v>
      </c>
      <c r="AH79" s="129">
        <v>0</v>
      </c>
      <c r="AI79" s="139">
        <f t="shared" si="14"/>
        <v>0</v>
      </c>
      <c r="AJ79" s="106">
        <f t="shared" si="11"/>
        <v>0</v>
      </c>
      <c r="AK79" s="188">
        <f t="shared" si="12"/>
        <v>0</v>
      </c>
      <c r="AM79" s="192">
        <f t="shared" si="13"/>
        <v>0</v>
      </c>
      <c r="AN79" s="211">
        <f>VLOOKUP(B79,'АПП БАЗ (0)'!$B$8:$Y$72,14,FALSE)*1000</f>
        <v>0</v>
      </c>
      <c r="AO79" s="197">
        <v>0</v>
      </c>
      <c r="AQ79" s="124">
        <f t="shared" si="10"/>
        <v>0</v>
      </c>
    </row>
    <row r="80" spans="1:43" ht="17.25" customHeight="1" x14ac:dyDescent="0.25">
      <c r="A80" s="107">
        <v>77</v>
      </c>
      <c r="B80" s="111">
        <v>391370</v>
      </c>
      <c r="C80" s="110" t="s">
        <v>121</v>
      </c>
      <c r="D80" s="121"/>
      <c r="E80" s="135"/>
      <c r="F80" s="120"/>
      <c r="G80" s="121"/>
      <c r="H80" s="120"/>
      <c r="I80" s="121"/>
      <c r="J80" s="120"/>
      <c r="K80" s="121"/>
      <c r="L80" s="120"/>
      <c r="M80" s="121"/>
      <c r="N80" s="109"/>
      <c r="O80" s="108"/>
      <c r="P80" s="120"/>
      <c r="Q80" s="121"/>
      <c r="R80" s="156" t="e">
        <v>#N/A</v>
      </c>
      <c r="S80" s="120"/>
      <c r="T80" s="121"/>
      <c r="U80" s="109"/>
      <c r="V80" s="108"/>
      <c r="W80" s="109"/>
      <c r="X80" s="108"/>
      <c r="Y80" s="109"/>
      <c r="Z80" s="108"/>
      <c r="AA80" s="109">
        <v>0</v>
      </c>
      <c r="AB80" s="108">
        <v>0</v>
      </c>
      <c r="AC80" s="128">
        <v>0</v>
      </c>
      <c r="AD80" s="129">
        <v>0</v>
      </c>
      <c r="AE80" s="128">
        <v>0</v>
      </c>
      <c r="AF80" s="129">
        <v>0</v>
      </c>
      <c r="AG80" s="128">
        <v>0</v>
      </c>
      <c r="AH80" s="129">
        <v>0</v>
      </c>
      <c r="AI80" s="139" t="e">
        <f t="shared" si="14"/>
        <v>#N/A</v>
      </c>
      <c r="AJ80" s="106" t="e">
        <f t="shared" si="11"/>
        <v>#N/A</v>
      </c>
      <c r="AK80" s="188" t="e">
        <f t="shared" si="12"/>
        <v>#N/A</v>
      </c>
      <c r="AM80" s="192" t="e">
        <f t="shared" si="13"/>
        <v>#N/A</v>
      </c>
      <c r="AN80" s="211">
        <f>VLOOKUP(B80,'АПП БАЗ (0)'!$B$8:$Y$72,14,FALSE)*1000</f>
        <v>0</v>
      </c>
      <c r="AO80" s="197">
        <v>0</v>
      </c>
      <c r="AQ80" s="124" t="e">
        <f t="shared" si="10"/>
        <v>#N/A</v>
      </c>
    </row>
    <row r="81" spans="1:43" ht="17.25" customHeight="1" x14ac:dyDescent="0.25">
      <c r="A81" s="107">
        <v>78</v>
      </c>
      <c r="B81" s="111">
        <v>392830</v>
      </c>
      <c r="C81" s="110" t="s">
        <v>122</v>
      </c>
      <c r="D81" s="121"/>
      <c r="E81" s="135"/>
      <c r="F81" s="120"/>
      <c r="G81" s="121"/>
      <c r="H81" s="120"/>
      <c r="I81" s="121"/>
      <c r="J81" s="120"/>
      <c r="K81" s="121"/>
      <c r="L81" s="120"/>
      <c r="M81" s="121"/>
      <c r="N81" s="109"/>
      <c r="O81" s="108"/>
      <c r="P81" s="120"/>
      <c r="Q81" s="121"/>
      <c r="R81" s="121">
        <v>0</v>
      </c>
      <c r="S81" s="120"/>
      <c r="T81" s="121"/>
      <c r="U81" s="109"/>
      <c r="V81" s="108"/>
      <c r="W81" s="109"/>
      <c r="X81" s="108"/>
      <c r="Y81" s="109"/>
      <c r="Z81" s="108"/>
      <c r="AA81" s="109">
        <v>0</v>
      </c>
      <c r="AB81" s="108">
        <v>0</v>
      </c>
      <c r="AC81" s="128">
        <v>0</v>
      </c>
      <c r="AD81" s="129">
        <v>0</v>
      </c>
      <c r="AE81" s="128">
        <v>0</v>
      </c>
      <c r="AF81" s="129">
        <v>0</v>
      </c>
      <c r="AG81" s="128">
        <v>0</v>
      </c>
      <c r="AH81" s="129">
        <v>0</v>
      </c>
      <c r="AI81" s="139">
        <f t="shared" si="14"/>
        <v>0</v>
      </c>
      <c r="AJ81" s="106">
        <f t="shared" si="11"/>
        <v>0</v>
      </c>
      <c r="AK81" s="188">
        <f t="shared" si="12"/>
        <v>0</v>
      </c>
      <c r="AM81" s="192">
        <f t="shared" si="13"/>
        <v>0</v>
      </c>
      <c r="AN81" s="211">
        <f>VLOOKUP(B81,'АПП БАЗ (0)'!$B$8:$Y$72,14,FALSE)*1000</f>
        <v>0</v>
      </c>
      <c r="AO81" s="197">
        <v>0</v>
      </c>
      <c r="AQ81" s="124">
        <f t="shared" si="10"/>
        <v>0</v>
      </c>
    </row>
    <row r="82" spans="1:43" ht="17.25" customHeight="1" x14ac:dyDescent="0.25">
      <c r="A82" s="107">
        <v>79</v>
      </c>
      <c r="B82" s="111">
        <v>392050</v>
      </c>
      <c r="C82" s="110" t="s">
        <v>91</v>
      </c>
      <c r="D82" s="121"/>
      <c r="E82" s="135"/>
      <c r="F82" s="120"/>
      <c r="G82" s="121"/>
      <c r="H82" s="120"/>
      <c r="I82" s="121"/>
      <c r="J82" s="120"/>
      <c r="K82" s="121"/>
      <c r="L82" s="120"/>
      <c r="M82" s="121"/>
      <c r="N82" s="109"/>
      <c r="O82" s="108"/>
      <c r="P82" s="120"/>
      <c r="Q82" s="121"/>
      <c r="R82" s="121">
        <v>0</v>
      </c>
      <c r="S82" s="120"/>
      <c r="T82" s="121"/>
      <c r="U82" s="109"/>
      <c r="V82" s="108"/>
      <c r="W82" s="109"/>
      <c r="X82" s="108"/>
      <c r="Y82" s="109"/>
      <c r="Z82" s="108"/>
      <c r="AA82" s="109">
        <v>0</v>
      </c>
      <c r="AB82" s="108">
        <v>0</v>
      </c>
      <c r="AC82" s="128">
        <v>0</v>
      </c>
      <c r="AD82" s="129">
        <v>0</v>
      </c>
      <c r="AE82" s="128">
        <v>0</v>
      </c>
      <c r="AF82" s="129">
        <v>0</v>
      </c>
      <c r="AG82" s="128">
        <v>0</v>
      </c>
      <c r="AH82" s="129">
        <v>0</v>
      </c>
      <c r="AI82" s="139">
        <f t="shared" si="14"/>
        <v>0</v>
      </c>
      <c r="AJ82" s="106">
        <f t="shared" si="11"/>
        <v>0</v>
      </c>
      <c r="AK82" s="188">
        <f t="shared" si="12"/>
        <v>0</v>
      </c>
      <c r="AM82" s="192">
        <f t="shared" si="13"/>
        <v>0</v>
      </c>
      <c r="AN82" s="211">
        <f>VLOOKUP(B82,'АПП БАЗ (0)'!$B$8:$Y$72,14,FALSE)*1000</f>
        <v>0</v>
      </c>
      <c r="AO82" s="197">
        <v>0</v>
      </c>
      <c r="AQ82" s="124">
        <f t="shared" si="10"/>
        <v>0</v>
      </c>
    </row>
    <row r="83" spans="1:43" ht="17.25" customHeight="1" x14ac:dyDescent="0.25">
      <c r="A83" s="107">
        <v>80</v>
      </c>
      <c r="B83" s="111">
        <v>391930</v>
      </c>
      <c r="C83" s="110" t="s">
        <v>125</v>
      </c>
      <c r="D83" s="121"/>
      <c r="E83" s="135"/>
      <c r="F83" s="120"/>
      <c r="G83" s="121"/>
      <c r="H83" s="120"/>
      <c r="I83" s="121"/>
      <c r="J83" s="120"/>
      <c r="K83" s="121"/>
      <c r="L83" s="120"/>
      <c r="M83" s="121"/>
      <c r="N83" s="109"/>
      <c r="O83" s="108"/>
      <c r="P83" s="120"/>
      <c r="Q83" s="121"/>
      <c r="R83" s="156">
        <v>0</v>
      </c>
      <c r="S83" s="120"/>
      <c r="T83" s="121"/>
      <c r="U83" s="109"/>
      <c r="V83" s="108"/>
      <c r="W83" s="109"/>
      <c r="X83" s="108"/>
      <c r="Y83" s="109"/>
      <c r="Z83" s="108"/>
      <c r="AA83" s="109">
        <v>0</v>
      </c>
      <c r="AB83" s="108">
        <v>0</v>
      </c>
      <c r="AC83" s="128">
        <v>0</v>
      </c>
      <c r="AD83" s="129">
        <v>0</v>
      </c>
      <c r="AE83" s="128">
        <v>0</v>
      </c>
      <c r="AF83" s="129">
        <v>0</v>
      </c>
      <c r="AG83" s="128">
        <v>0</v>
      </c>
      <c r="AH83" s="129">
        <v>0</v>
      </c>
      <c r="AI83" s="139">
        <f t="shared" si="14"/>
        <v>0</v>
      </c>
      <c r="AJ83" s="106">
        <f t="shared" si="11"/>
        <v>0</v>
      </c>
      <c r="AK83" s="188">
        <f t="shared" si="12"/>
        <v>0</v>
      </c>
      <c r="AM83" s="192">
        <f t="shared" si="13"/>
        <v>0</v>
      </c>
      <c r="AN83" s="211">
        <f>VLOOKUP(B83,'АПП БАЗ (0)'!$B$8:$Y$72,14,FALSE)*1000</f>
        <v>0</v>
      </c>
      <c r="AO83" s="197">
        <v>0</v>
      </c>
      <c r="AQ83" s="124">
        <f t="shared" si="10"/>
        <v>0</v>
      </c>
    </row>
    <row r="84" spans="1:43" ht="17.25" customHeight="1" x14ac:dyDescent="0.25">
      <c r="A84" s="107">
        <v>81</v>
      </c>
      <c r="B84" s="111">
        <v>392580</v>
      </c>
      <c r="C84" s="110" t="s">
        <v>123</v>
      </c>
      <c r="D84" s="121"/>
      <c r="E84" s="135"/>
      <c r="F84" s="120"/>
      <c r="G84" s="121"/>
      <c r="H84" s="120"/>
      <c r="I84" s="121"/>
      <c r="J84" s="120"/>
      <c r="K84" s="121"/>
      <c r="L84" s="120"/>
      <c r="M84" s="121"/>
      <c r="N84" s="109"/>
      <c r="O84" s="108"/>
      <c r="P84" s="120"/>
      <c r="Q84" s="121"/>
      <c r="R84" s="121">
        <v>0</v>
      </c>
      <c r="S84" s="120"/>
      <c r="T84" s="121"/>
      <c r="U84" s="109"/>
      <c r="V84" s="108"/>
      <c r="W84" s="109"/>
      <c r="X84" s="108"/>
      <c r="Y84" s="109"/>
      <c r="Z84" s="108"/>
      <c r="AA84" s="109">
        <v>0</v>
      </c>
      <c r="AB84" s="108">
        <v>0</v>
      </c>
      <c r="AC84" s="128">
        <v>0</v>
      </c>
      <c r="AD84" s="129">
        <v>0</v>
      </c>
      <c r="AE84" s="128">
        <v>0</v>
      </c>
      <c r="AF84" s="129">
        <v>0</v>
      </c>
      <c r="AG84" s="128">
        <v>0</v>
      </c>
      <c r="AH84" s="129">
        <v>0</v>
      </c>
      <c r="AI84" s="139">
        <f t="shared" si="14"/>
        <v>0</v>
      </c>
      <c r="AJ84" s="106">
        <f t="shared" si="11"/>
        <v>0</v>
      </c>
      <c r="AK84" s="188">
        <f t="shared" si="12"/>
        <v>0</v>
      </c>
      <c r="AM84" s="192">
        <f t="shared" si="13"/>
        <v>0</v>
      </c>
      <c r="AN84" s="211">
        <f>VLOOKUP(B84,'АПП БАЗ (0)'!$B$8:$Y$72,14,FALSE)*1000</f>
        <v>0</v>
      </c>
      <c r="AO84" s="197">
        <v>0</v>
      </c>
      <c r="AQ84" s="124">
        <f t="shared" si="10"/>
        <v>0</v>
      </c>
    </row>
    <row r="85" spans="1:43" ht="17.25" customHeight="1" x14ac:dyDescent="0.25">
      <c r="A85" s="107">
        <v>82</v>
      </c>
      <c r="B85" s="111">
        <v>392720</v>
      </c>
      <c r="C85" s="110" t="s">
        <v>124</v>
      </c>
      <c r="D85" s="121"/>
      <c r="E85" s="135"/>
      <c r="F85" s="120"/>
      <c r="G85" s="121"/>
      <c r="H85" s="120"/>
      <c r="I85" s="121"/>
      <c r="J85" s="120"/>
      <c r="K85" s="121"/>
      <c r="L85" s="120"/>
      <c r="M85" s="121"/>
      <c r="N85" s="109"/>
      <c r="O85" s="108"/>
      <c r="P85" s="120"/>
      <c r="Q85" s="121"/>
      <c r="R85" s="156" t="e">
        <v>#N/A</v>
      </c>
      <c r="S85" s="120"/>
      <c r="T85" s="121"/>
      <c r="U85" s="109"/>
      <c r="V85" s="108"/>
      <c r="W85" s="109"/>
      <c r="X85" s="108"/>
      <c r="Y85" s="109"/>
      <c r="Z85" s="108"/>
      <c r="AA85" s="109">
        <v>0</v>
      </c>
      <c r="AB85" s="108">
        <v>0</v>
      </c>
      <c r="AC85" s="128">
        <v>0</v>
      </c>
      <c r="AD85" s="129">
        <v>0</v>
      </c>
      <c r="AE85" s="128">
        <v>0</v>
      </c>
      <c r="AF85" s="129">
        <v>0</v>
      </c>
      <c r="AG85" s="128">
        <v>0</v>
      </c>
      <c r="AH85" s="129">
        <v>0</v>
      </c>
      <c r="AI85" s="139" t="e">
        <f t="shared" si="14"/>
        <v>#N/A</v>
      </c>
      <c r="AJ85" s="106" t="e">
        <f t="shared" si="11"/>
        <v>#N/A</v>
      </c>
      <c r="AK85" s="188" t="e">
        <f t="shared" si="12"/>
        <v>#N/A</v>
      </c>
      <c r="AM85" s="192" t="e">
        <f t="shared" si="13"/>
        <v>#N/A</v>
      </c>
      <c r="AN85" s="211">
        <f>VLOOKUP(B85,'АПП БАЗ (0)'!$B$8:$Y$72,14,FALSE)*1000</f>
        <v>0</v>
      </c>
      <c r="AO85" s="197">
        <v>0</v>
      </c>
      <c r="AQ85" s="124" t="e">
        <f t="shared" si="10"/>
        <v>#N/A</v>
      </c>
    </row>
    <row r="86" spans="1:43" ht="17.25" customHeight="1" x14ac:dyDescent="0.25">
      <c r="A86" s="165">
        <v>83</v>
      </c>
      <c r="B86" s="166">
        <v>391970</v>
      </c>
      <c r="C86" s="167" t="s">
        <v>68</v>
      </c>
      <c r="D86" s="168"/>
      <c r="E86" s="169"/>
      <c r="F86" s="170"/>
      <c r="G86" s="168"/>
      <c r="H86" s="170"/>
      <c r="I86" s="168"/>
      <c r="J86" s="170"/>
      <c r="K86" s="168"/>
      <c r="L86" s="170"/>
      <c r="M86" s="168"/>
      <c r="N86" s="171"/>
      <c r="O86" s="172"/>
      <c r="P86" s="170"/>
      <c r="Q86" s="168"/>
      <c r="R86" s="156">
        <v>0</v>
      </c>
      <c r="S86" s="170"/>
      <c r="T86" s="168"/>
      <c r="U86" s="171"/>
      <c r="V86" s="172"/>
      <c r="W86" s="171"/>
      <c r="X86" s="172"/>
      <c r="Y86" s="171"/>
      <c r="Z86" s="172"/>
      <c r="AA86" s="171">
        <v>0</v>
      </c>
      <c r="AB86" s="172">
        <v>0</v>
      </c>
      <c r="AC86" s="128">
        <v>0</v>
      </c>
      <c r="AD86" s="129">
        <v>0</v>
      </c>
      <c r="AE86" s="128">
        <v>0</v>
      </c>
      <c r="AF86" s="129">
        <v>0</v>
      </c>
      <c r="AG86" s="128">
        <v>0</v>
      </c>
      <c r="AH86" s="129">
        <v>0</v>
      </c>
      <c r="AI86" s="173">
        <f t="shared" si="14"/>
        <v>0</v>
      </c>
      <c r="AJ86" s="174">
        <f t="shared" si="11"/>
        <v>0</v>
      </c>
      <c r="AK86" s="188">
        <f t="shared" si="12"/>
        <v>0</v>
      </c>
      <c r="AM86" s="192">
        <f t="shared" si="13"/>
        <v>0</v>
      </c>
      <c r="AN86" s="211">
        <f>VLOOKUP(B86,'АПП БАЗ (0)'!$B$8:$Y$72,14,FALSE)*1000</f>
        <v>0</v>
      </c>
      <c r="AO86" s="197">
        <v>0</v>
      </c>
      <c r="AQ86" s="124">
        <f t="shared" si="10"/>
        <v>0</v>
      </c>
    </row>
    <row r="87" spans="1:43" ht="17.25" customHeight="1" x14ac:dyDescent="0.25">
      <c r="A87" s="165">
        <v>84</v>
      </c>
      <c r="B87" s="166">
        <v>391840</v>
      </c>
      <c r="C87" s="167" t="s">
        <v>177</v>
      </c>
      <c r="D87" s="124"/>
      <c r="E87" s="206"/>
      <c r="F87" s="207"/>
      <c r="G87" s="124"/>
      <c r="H87" s="207"/>
      <c r="I87" s="124"/>
      <c r="J87" s="207"/>
      <c r="K87" s="124"/>
      <c r="L87" s="207"/>
      <c r="M87" s="124"/>
      <c r="N87" s="109">
        <v>250</v>
      </c>
      <c r="O87" s="108">
        <v>4609600</v>
      </c>
      <c r="P87" s="128">
        <f t="shared" ref="P87" si="15">N87</f>
        <v>250</v>
      </c>
      <c r="Q87" s="129">
        <f t="shared" ref="Q87" si="16">O87</f>
        <v>4609600</v>
      </c>
      <c r="R87" s="208"/>
      <c r="S87" s="207"/>
      <c r="T87" s="124"/>
      <c r="U87" s="209"/>
      <c r="V87" s="104"/>
      <c r="W87" s="209"/>
      <c r="X87" s="104"/>
      <c r="Y87" s="209"/>
      <c r="Z87" s="104"/>
      <c r="AA87" s="209"/>
      <c r="AB87" s="104"/>
      <c r="AC87" s="210"/>
      <c r="AD87" s="144"/>
      <c r="AE87" s="210"/>
      <c r="AF87" s="144"/>
      <c r="AG87" s="210"/>
      <c r="AH87" s="144"/>
      <c r="AI87" s="173">
        <f t="shared" ref="AI87" si="17">Q87+R87+T87+V87+X87+Z87+AB87+AD87+AF87+AH87</f>
        <v>4609600</v>
      </c>
      <c r="AJ87" s="174">
        <f t="shared" ref="AJ87" si="18">D87+E87+AI87</f>
        <v>4609600</v>
      </c>
      <c r="AK87" s="188">
        <f t="shared" ref="AK87" si="19">AI87-R87</f>
        <v>4609600</v>
      </c>
      <c r="AM87" s="192">
        <f t="shared" si="13"/>
        <v>4609600</v>
      </c>
      <c r="AN87" s="211">
        <f>VLOOKUP(B87,'АПП БАЗ (0)'!$B$8:$Y$72,14,FALSE)*1000</f>
        <v>0</v>
      </c>
      <c r="AO87" s="197">
        <v>0</v>
      </c>
      <c r="AQ87" s="124">
        <f t="shared" si="10"/>
        <v>-4609600</v>
      </c>
    </row>
    <row r="88" spans="1:43" x14ac:dyDescent="0.25">
      <c r="A88" s="107"/>
      <c r="B88" s="107"/>
      <c r="C88" s="176" t="s">
        <v>75</v>
      </c>
      <c r="D88" s="177" t="e">
        <f>SUM(D4:D87)</f>
        <v>#REF!</v>
      </c>
      <c r="E88" s="178" t="e">
        <f t="shared" ref="E88:AK88" si="20">SUM(E4:E87)</f>
        <v>#REF!</v>
      </c>
      <c r="F88" s="179">
        <f t="shared" si="20"/>
        <v>1424850</v>
      </c>
      <c r="G88" s="180" t="e">
        <f t="shared" si="20"/>
        <v>#REF!</v>
      </c>
      <c r="H88" s="179">
        <f t="shared" si="20"/>
        <v>1759854</v>
      </c>
      <c r="I88" s="180" t="e">
        <f t="shared" si="20"/>
        <v>#REF!</v>
      </c>
      <c r="J88" s="179">
        <f t="shared" si="20"/>
        <v>275036</v>
      </c>
      <c r="K88" s="180">
        <f t="shared" si="20"/>
        <v>544355069.41000009</v>
      </c>
      <c r="L88" s="179">
        <f t="shared" si="20"/>
        <v>265936</v>
      </c>
      <c r="M88" s="180">
        <f t="shared" si="20"/>
        <v>600099654.10000002</v>
      </c>
      <c r="N88" s="181">
        <f t="shared" si="20"/>
        <v>1051</v>
      </c>
      <c r="O88" s="182">
        <f t="shared" si="20"/>
        <v>19378760</v>
      </c>
      <c r="P88" s="179">
        <f t="shared" si="20"/>
        <v>52664</v>
      </c>
      <c r="Q88" s="180">
        <f t="shared" si="20"/>
        <v>83197202.23999998</v>
      </c>
      <c r="R88" s="180" t="e">
        <f t="shared" si="20"/>
        <v>#N/A</v>
      </c>
      <c r="S88" s="179">
        <f t="shared" si="20"/>
        <v>1305</v>
      </c>
      <c r="T88" s="180">
        <f t="shared" si="20"/>
        <v>103595560.69</v>
      </c>
      <c r="U88" s="181">
        <f t="shared" si="20"/>
        <v>440360</v>
      </c>
      <c r="V88" s="182">
        <f t="shared" si="20"/>
        <v>180520596.909904</v>
      </c>
      <c r="W88" s="181" t="e">
        <f t="shared" si="20"/>
        <v>#N/A</v>
      </c>
      <c r="X88" s="182" t="e">
        <f t="shared" si="20"/>
        <v>#N/A</v>
      </c>
      <c r="Y88" s="181">
        <f t="shared" si="20"/>
        <v>46007</v>
      </c>
      <c r="Z88" s="182" t="e">
        <f t="shared" si="20"/>
        <v>#REF!</v>
      </c>
      <c r="AA88" s="181">
        <f t="shared" si="20"/>
        <v>530761</v>
      </c>
      <c r="AB88" s="182">
        <f t="shared" si="20"/>
        <v>375831835.50000006</v>
      </c>
      <c r="AC88" s="183">
        <f t="shared" si="20"/>
        <v>750435.89600000007</v>
      </c>
      <c r="AD88" s="184">
        <f t="shared" si="20"/>
        <v>293044000</v>
      </c>
      <c r="AE88" s="183">
        <f t="shared" si="20"/>
        <v>559310.07999999996</v>
      </c>
      <c r="AF88" s="184">
        <f t="shared" si="20"/>
        <v>215664000</v>
      </c>
      <c r="AG88" s="183">
        <f t="shared" si="20"/>
        <v>175157.39999999994</v>
      </c>
      <c r="AH88" s="184">
        <f t="shared" si="20"/>
        <v>15729000</v>
      </c>
      <c r="AI88" s="185" t="e">
        <f t="shared" si="20"/>
        <v>#REF!</v>
      </c>
      <c r="AJ88" s="180" t="e">
        <f t="shared" si="20"/>
        <v>#REF!</v>
      </c>
      <c r="AK88" s="184" t="e">
        <f t="shared" si="20"/>
        <v>#REF!</v>
      </c>
      <c r="AM88" s="180" t="e">
        <f>SUM(AM4:AM87)</f>
        <v>#REF!</v>
      </c>
      <c r="AN88" s="124" t="e">
        <f>SUM(AN4:AN87)</f>
        <v>#N/A</v>
      </c>
      <c r="AO88" s="184">
        <f>SUM(AO4:AO87)</f>
        <v>42545100</v>
      </c>
    </row>
    <row r="89" spans="1:43" x14ac:dyDescent="0.25">
      <c r="C89" s="118" t="s">
        <v>174</v>
      </c>
      <c r="G89" s="124"/>
      <c r="I89" s="124">
        <v>276846480.82999969</v>
      </c>
      <c r="N89" s="103" t="s">
        <v>176</v>
      </c>
      <c r="O89" s="104">
        <f>O88/N88</f>
        <v>18438.401522359658</v>
      </c>
      <c r="Q89" s="124">
        <f>SUM(Q16:Q42)</f>
        <v>0</v>
      </c>
      <c r="X89" s="146"/>
      <c r="AF89" s="175"/>
      <c r="AG89" s="131" t="s">
        <v>175</v>
      </c>
      <c r="AH89" s="144">
        <f>AD88+AF88+AH88</f>
        <v>524437000</v>
      </c>
      <c r="AJ89" s="124"/>
      <c r="AM89" s="193">
        <f>'АПП БАЗ (0)'!Y73*1000</f>
        <v>3859209049.6899986</v>
      </c>
    </row>
    <row r="90" spans="1:43" x14ac:dyDescent="0.25">
      <c r="D90" s="154" t="e">
        <f>#REF!-#REF!</f>
        <v>#REF!</v>
      </c>
      <c r="G90" s="124"/>
      <c r="V90" s="104"/>
      <c r="W90" s="103" t="s">
        <v>176</v>
      </c>
      <c r="X90" s="108" t="e">
        <f>X88/W88</f>
        <v>#N/A</v>
      </c>
      <c r="AC90" s="131" t="s">
        <v>176</v>
      </c>
      <c r="AD90" s="129">
        <f t="shared" ref="AD90" si="21">AD88/AC88</f>
        <v>390.49837775883788</v>
      </c>
      <c r="AE90" s="131" t="s">
        <v>176</v>
      </c>
      <c r="AF90" s="129">
        <f>AF88/AE88</f>
        <v>385.58933177102767</v>
      </c>
      <c r="AG90" s="131" t="s">
        <v>176</v>
      </c>
      <c r="AH90" s="129">
        <f t="shared" ref="AH90" si="22">AH88/AG88</f>
        <v>89.799232005042356</v>
      </c>
      <c r="AJ90" s="105"/>
      <c r="AM90" s="193" t="e">
        <f>AM89-AM88</f>
        <v>#REF!</v>
      </c>
    </row>
    <row r="91" spans="1:43" x14ac:dyDescent="0.25">
      <c r="F91" s="147"/>
      <c r="G91" s="147" t="e">
        <f>G88/(G88+I88)</f>
        <v>#REF!</v>
      </c>
      <c r="H91" s="147"/>
      <c r="I91" s="148" t="e">
        <f>1-G91</f>
        <v>#REF!</v>
      </c>
      <c r="AJ91" s="155"/>
      <c r="AM91" s="193">
        <f>AH89</f>
        <v>524437000</v>
      </c>
    </row>
    <row r="92" spans="1:43" x14ac:dyDescent="0.25">
      <c r="C92" s="105"/>
      <c r="D92" s="124"/>
      <c r="G92" s="158"/>
      <c r="AH92" s="144">
        <f>AD88+AF88+AH88</f>
        <v>524437000</v>
      </c>
    </row>
    <row r="93" spans="1:43" x14ac:dyDescent="0.25">
      <c r="AM93" s="193" t="e">
        <f>AM88+AM91</f>
        <v>#REF!</v>
      </c>
    </row>
    <row r="94" spans="1:43" x14ac:dyDescent="0.25">
      <c r="AM94" s="193" t="e">
        <f>AJ88-AM93</f>
        <v>#REF!</v>
      </c>
    </row>
  </sheetData>
  <autoFilter ref="A3:AK89" xr:uid="{00000000-0009-0000-0000-000001000000}"/>
  <mergeCells count="17">
    <mergeCell ref="J1:K1"/>
    <mergeCell ref="A1:A2"/>
    <mergeCell ref="B1:B2"/>
    <mergeCell ref="C1:C2"/>
    <mergeCell ref="F1:G1"/>
    <mergeCell ref="H1:I1"/>
    <mergeCell ref="L1:M1"/>
    <mergeCell ref="N1:O1"/>
    <mergeCell ref="P1:Q1"/>
    <mergeCell ref="S1:T1"/>
    <mergeCell ref="U1:V1"/>
    <mergeCell ref="AG1:AH1"/>
    <mergeCell ref="W1:X1"/>
    <mergeCell ref="Y1:Z1"/>
    <mergeCell ref="AA1:AB1"/>
    <mergeCell ref="AC1:AD1"/>
    <mergeCell ref="AE1:AF1"/>
  </mergeCells>
  <pageMargins left="0.19685039370078741" right="0.19685039370078741" top="0.19685039370078741" bottom="0.78740157480314965" header="0.23622047244094491" footer="0.47244094488188981"/>
  <pageSetup paperSize="9" scale="45" fitToWidth="2" fitToHeight="2" orientation="landscape" verticalDpi="4294967294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E5F00-7B25-49E3-ADB6-E5CCC0925D6F}">
  <sheetPr>
    <tabColor theme="4" tint="0.59999389629810485"/>
  </sheetPr>
  <dimension ref="A1:AS97"/>
  <sheetViews>
    <sheetView zoomScale="85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23" sqref="G23"/>
    </sheetView>
  </sheetViews>
  <sheetFormatPr defaultColWidth="9.140625" defaultRowHeight="15" x14ac:dyDescent="0.25"/>
  <cols>
    <col min="1" max="1" width="4.140625" style="259" customWidth="1"/>
    <col min="2" max="2" width="8.5703125" style="259" customWidth="1"/>
    <col min="3" max="3" width="42.42578125" style="68" customWidth="1"/>
    <col min="4" max="4" width="18.5703125" style="68" bestFit="1" customWidth="1"/>
    <col min="5" max="5" width="16.5703125" style="324" bestFit="1" customWidth="1"/>
    <col min="6" max="6" width="11" style="259" bestFit="1" customWidth="1"/>
    <col min="7" max="7" width="15.42578125" style="259" customWidth="1"/>
    <col min="8" max="8" width="11" style="259" bestFit="1" customWidth="1"/>
    <col min="9" max="9" width="16" style="259" customWidth="1"/>
    <col min="10" max="10" width="9.7109375" style="259" bestFit="1" customWidth="1"/>
    <col min="11" max="11" width="14.7109375" style="259" customWidth="1"/>
    <col min="12" max="12" width="10" style="327" customWidth="1"/>
    <col min="13" max="13" width="14.85546875" style="328" customWidth="1"/>
    <col min="14" max="14" width="8.7109375" style="259" bestFit="1" customWidth="1"/>
    <col min="15" max="15" width="15.5703125" style="259" customWidth="1"/>
    <col min="16" max="16" width="15.140625" style="259" customWidth="1"/>
    <col min="17" max="17" width="11.42578125" style="259" bestFit="1" customWidth="1"/>
    <col min="18" max="18" width="15" style="259" customWidth="1"/>
    <col min="19" max="19" width="8.7109375" style="259" bestFit="1" customWidth="1"/>
    <col min="20" max="20" width="13.85546875" style="259" customWidth="1"/>
    <col min="21" max="21" width="9.7109375" style="260" customWidth="1"/>
    <col min="22" max="22" width="14.28515625" style="260" customWidth="1"/>
    <col min="23" max="23" width="9.140625" style="260" customWidth="1"/>
    <col min="24" max="24" width="15.7109375" style="260" customWidth="1"/>
    <col min="25" max="25" width="9.42578125" style="260" customWidth="1"/>
    <col min="26" max="26" width="14.7109375" style="260" customWidth="1"/>
    <col min="27" max="27" width="11.5703125" style="260" customWidth="1"/>
    <col min="28" max="28" width="16.140625" style="260" customWidth="1"/>
    <col min="29" max="29" width="9.140625" style="130" bestFit="1" customWidth="1"/>
    <col min="30" max="30" width="16.5703125" style="319" bestFit="1" customWidth="1"/>
    <col min="31" max="31" width="9.140625" style="319" bestFit="1" customWidth="1"/>
    <col min="32" max="32" width="16.5703125" style="319" bestFit="1" customWidth="1"/>
    <col min="33" max="33" width="8.7109375" style="319" bestFit="1" customWidth="1"/>
    <col min="34" max="34" width="14.42578125" style="319" customWidth="1"/>
    <col min="35" max="35" width="8.5703125" style="329" customWidth="1"/>
    <col min="36" max="36" width="12.5703125" style="329" customWidth="1"/>
    <col min="37" max="37" width="12.140625" style="330" customWidth="1"/>
    <col min="38" max="38" width="18.28515625" style="330" customWidth="1"/>
    <col min="39" max="39" width="18.5703125" style="329" bestFit="1" customWidth="1"/>
    <col min="40" max="40" width="17.140625" style="126" customWidth="1"/>
    <col min="41" max="41" width="16.5703125" style="319" customWidth="1"/>
    <col min="42" max="42" width="6.85546875" style="259" customWidth="1"/>
    <col min="43" max="43" width="17.85546875" style="336" customWidth="1"/>
    <col min="44" max="44" width="18.28515625" style="259" customWidth="1"/>
    <col min="45" max="45" width="14.7109375" style="329" customWidth="1"/>
    <col min="46" max="16384" width="9.140625" style="259"/>
  </cols>
  <sheetData>
    <row r="1" spans="1:45" s="68" customFormat="1" ht="39.75" customHeight="1" x14ac:dyDescent="0.25">
      <c r="A1" s="620" t="s">
        <v>4</v>
      </c>
      <c r="B1" s="620" t="s">
        <v>163</v>
      </c>
      <c r="C1" s="620" t="s">
        <v>162</v>
      </c>
      <c r="D1" s="239" t="s">
        <v>164</v>
      </c>
      <c r="E1" s="240" t="s">
        <v>154</v>
      </c>
      <c r="F1" s="622" t="s">
        <v>161</v>
      </c>
      <c r="G1" s="623"/>
      <c r="H1" s="622" t="s">
        <v>157</v>
      </c>
      <c r="I1" s="623"/>
      <c r="J1" s="618" t="s">
        <v>232</v>
      </c>
      <c r="K1" s="619"/>
      <c r="L1" s="605" t="s">
        <v>218</v>
      </c>
      <c r="M1" s="606"/>
      <c r="N1" s="615" t="s">
        <v>158</v>
      </c>
      <c r="O1" s="616"/>
      <c r="P1" s="241" t="s">
        <v>159</v>
      </c>
      <c r="Q1" s="605" t="s">
        <v>224</v>
      </c>
      <c r="R1" s="606"/>
      <c r="S1" s="607" t="s">
        <v>212</v>
      </c>
      <c r="T1" s="617"/>
      <c r="U1" s="605" t="s">
        <v>155</v>
      </c>
      <c r="V1" s="606"/>
      <c r="W1" s="607" t="s">
        <v>210</v>
      </c>
      <c r="X1" s="617"/>
      <c r="Y1" s="605" t="s">
        <v>152</v>
      </c>
      <c r="Z1" s="606"/>
      <c r="AA1" s="607" t="s">
        <v>188</v>
      </c>
      <c r="AB1" s="617"/>
      <c r="AC1" s="609" t="s">
        <v>150</v>
      </c>
      <c r="AD1" s="610"/>
      <c r="AE1" s="609" t="s">
        <v>149</v>
      </c>
      <c r="AF1" s="610"/>
      <c r="AG1" s="609" t="s">
        <v>148</v>
      </c>
      <c r="AH1" s="610"/>
      <c r="AI1" s="613" t="s">
        <v>221</v>
      </c>
      <c r="AJ1" s="613"/>
      <c r="AK1" s="613"/>
      <c r="AL1" s="613"/>
      <c r="AM1" s="614"/>
      <c r="AN1" s="242" t="s">
        <v>75</v>
      </c>
      <c r="AO1" s="243" t="s">
        <v>166</v>
      </c>
      <c r="AP1" s="202"/>
      <c r="AQ1" s="244" t="s">
        <v>172</v>
      </c>
      <c r="AR1" s="202" t="s">
        <v>178</v>
      </c>
      <c r="AS1" s="337" t="s">
        <v>213</v>
      </c>
    </row>
    <row r="2" spans="1:45" s="254" customFormat="1" ht="41.45" customHeight="1" x14ac:dyDescent="0.25">
      <c r="A2" s="621"/>
      <c r="B2" s="621"/>
      <c r="C2" s="621"/>
      <c r="D2" s="248" t="s">
        <v>147</v>
      </c>
      <c r="E2" s="249" t="s">
        <v>147</v>
      </c>
      <c r="F2" s="248" t="s">
        <v>12</v>
      </c>
      <c r="G2" s="248" t="s">
        <v>147</v>
      </c>
      <c r="H2" s="248" t="s">
        <v>12</v>
      </c>
      <c r="I2" s="248" t="s">
        <v>147</v>
      </c>
      <c r="J2" s="248" t="s">
        <v>12</v>
      </c>
      <c r="K2" s="248" t="s">
        <v>147</v>
      </c>
      <c r="L2" s="250" t="s">
        <v>12</v>
      </c>
      <c r="M2" s="251" t="s">
        <v>147</v>
      </c>
      <c r="N2" s="248" t="s">
        <v>12</v>
      </c>
      <c r="O2" s="248" t="s">
        <v>147</v>
      </c>
      <c r="P2" s="248" t="s">
        <v>147</v>
      </c>
      <c r="Q2" s="250" t="s">
        <v>12</v>
      </c>
      <c r="R2" s="250" t="s">
        <v>147</v>
      </c>
      <c r="S2" s="248" t="s">
        <v>12</v>
      </c>
      <c r="T2" s="248" t="s">
        <v>147</v>
      </c>
      <c r="U2" s="250" t="s">
        <v>12</v>
      </c>
      <c r="V2" s="250" t="s">
        <v>147</v>
      </c>
      <c r="W2" s="250" t="s">
        <v>12</v>
      </c>
      <c r="X2" s="250" t="s">
        <v>147</v>
      </c>
      <c r="Y2" s="250" t="s">
        <v>12</v>
      </c>
      <c r="Z2" s="250" t="s">
        <v>147</v>
      </c>
      <c r="AA2" s="250" t="s">
        <v>12</v>
      </c>
      <c r="AB2" s="250" t="s">
        <v>147</v>
      </c>
      <c r="AC2" s="252" t="s">
        <v>12</v>
      </c>
      <c r="AD2" s="252" t="s">
        <v>147</v>
      </c>
      <c r="AE2" s="252" t="s">
        <v>12</v>
      </c>
      <c r="AF2" s="252" t="s">
        <v>147</v>
      </c>
      <c r="AG2" s="252" t="s">
        <v>12</v>
      </c>
      <c r="AH2" s="252" t="s">
        <v>147</v>
      </c>
      <c r="AI2" s="72" t="s">
        <v>220</v>
      </c>
      <c r="AJ2" s="72" t="s">
        <v>219</v>
      </c>
      <c r="AK2" s="253" t="s">
        <v>222</v>
      </c>
      <c r="AL2" s="72" t="s">
        <v>223</v>
      </c>
      <c r="AM2" s="72" t="s">
        <v>147</v>
      </c>
      <c r="AN2" s="248" t="s">
        <v>147</v>
      </c>
      <c r="AO2" s="252" t="s">
        <v>147</v>
      </c>
      <c r="AQ2" s="248" t="s">
        <v>147</v>
      </c>
      <c r="AR2" s="248" t="s">
        <v>147</v>
      </c>
      <c r="AS2" s="338"/>
    </row>
    <row r="3" spans="1:45" ht="18.75" customHeight="1" x14ac:dyDescent="0.25">
      <c r="A3" s="247"/>
      <c r="B3" s="256">
        <v>1</v>
      </c>
      <c r="C3" s="257">
        <v>2</v>
      </c>
      <c r="D3" s="256">
        <v>3</v>
      </c>
      <c r="E3" s="257">
        <v>4</v>
      </c>
      <c r="F3" s="256">
        <v>5</v>
      </c>
      <c r="G3" s="257">
        <v>6</v>
      </c>
      <c r="H3" s="256">
        <v>7</v>
      </c>
      <c r="I3" s="257">
        <v>8</v>
      </c>
      <c r="J3" s="256">
        <v>9</v>
      </c>
      <c r="K3" s="257">
        <v>10</v>
      </c>
      <c r="L3" s="256">
        <v>11</v>
      </c>
      <c r="M3" s="257">
        <v>12</v>
      </c>
      <c r="N3" s="256">
        <v>13</v>
      </c>
      <c r="O3" s="257">
        <v>14</v>
      </c>
      <c r="P3" s="256">
        <v>15</v>
      </c>
      <c r="Q3" s="257">
        <v>16</v>
      </c>
      <c r="R3" s="256">
        <v>17</v>
      </c>
      <c r="S3" s="257">
        <v>18</v>
      </c>
      <c r="T3" s="256">
        <v>19</v>
      </c>
      <c r="U3" s="257">
        <v>20</v>
      </c>
      <c r="V3" s="256">
        <v>21</v>
      </c>
      <c r="W3" s="257">
        <v>22</v>
      </c>
      <c r="X3" s="256">
        <v>23</v>
      </c>
      <c r="Y3" s="257">
        <v>24</v>
      </c>
      <c r="Z3" s="256">
        <v>25</v>
      </c>
      <c r="AA3" s="257">
        <v>26</v>
      </c>
      <c r="AB3" s="256">
        <v>27</v>
      </c>
      <c r="AC3" s="257">
        <v>28</v>
      </c>
      <c r="AD3" s="256">
        <v>29</v>
      </c>
      <c r="AE3" s="257">
        <v>30</v>
      </c>
      <c r="AF3" s="256">
        <v>31</v>
      </c>
      <c r="AG3" s="257">
        <v>32</v>
      </c>
      <c r="AH3" s="256">
        <v>33</v>
      </c>
      <c r="AI3" s="257">
        <v>34</v>
      </c>
      <c r="AJ3" s="256">
        <v>35</v>
      </c>
      <c r="AK3" s="257">
        <v>36</v>
      </c>
      <c r="AL3" s="256">
        <v>37</v>
      </c>
      <c r="AM3" s="257">
        <v>38</v>
      </c>
      <c r="AN3" s="256">
        <v>39</v>
      </c>
      <c r="AO3" s="257">
        <v>40</v>
      </c>
      <c r="AP3" s="257"/>
      <c r="AQ3" s="257">
        <v>42</v>
      </c>
    </row>
    <row r="4" spans="1:45" ht="18" customHeight="1" x14ac:dyDescent="0.25">
      <c r="A4" s="261">
        <v>1</v>
      </c>
      <c r="B4" s="5">
        <v>390930</v>
      </c>
      <c r="C4" s="6" t="s">
        <v>180</v>
      </c>
      <c r="D4" s="262"/>
      <c r="E4" s="263"/>
      <c r="F4" s="264"/>
      <c r="G4" s="262"/>
      <c r="H4" s="264"/>
      <c r="I4" s="262"/>
      <c r="J4" s="264"/>
      <c r="K4" s="262"/>
      <c r="L4" s="265">
        <v>0</v>
      </c>
      <c r="M4" s="266">
        <v>0</v>
      </c>
      <c r="N4" s="264"/>
      <c r="O4" s="262"/>
      <c r="P4" s="267">
        <v>0</v>
      </c>
      <c r="Q4" s="265">
        <v>21707</v>
      </c>
      <c r="R4" s="266">
        <v>6834014.8099999996</v>
      </c>
      <c r="S4" s="264"/>
      <c r="T4" s="262"/>
      <c r="U4" s="268">
        <v>0</v>
      </c>
      <c r="V4" s="269">
        <v>0</v>
      </c>
      <c r="W4" s="268">
        <v>0</v>
      </c>
      <c r="X4" s="269">
        <v>0</v>
      </c>
      <c r="Y4" s="268">
        <v>0</v>
      </c>
      <c r="Z4" s="269">
        <v>0</v>
      </c>
      <c r="AA4" s="268">
        <v>0</v>
      </c>
      <c r="AB4" s="269">
        <v>0</v>
      </c>
      <c r="AC4" s="270">
        <v>0</v>
      </c>
      <c r="AD4" s="271">
        <v>0</v>
      </c>
      <c r="AE4" s="270">
        <v>0</v>
      </c>
      <c r="AF4" s="271">
        <v>0</v>
      </c>
      <c r="AG4" s="270">
        <v>0</v>
      </c>
      <c r="AH4" s="271">
        <v>0</v>
      </c>
      <c r="AI4" s="272">
        <f>L4+N4</f>
        <v>0</v>
      </c>
      <c r="AJ4" s="272">
        <f t="shared" ref="AJ4:AJ67" si="0">Q4+S4+U4+W4+Y4+AA4+AE4+AG4</f>
        <v>21707</v>
      </c>
      <c r="AK4" s="273">
        <f>U4+Y4+AA4</f>
        <v>0</v>
      </c>
      <c r="AL4" s="274">
        <f>V4+Z4+AB4</f>
        <v>0</v>
      </c>
      <c r="AM4" s="275">
        <f t="shared" ref="AM4:AM67" si="1">R4+M4+O4+P4+T4+V4+X4+Z4+AB4+AD4+AF4+AH4</f>
        <v>6834014.8099999996</v>
      </c>
      <c r="AN4" s="276">
        <f>D4+E4+AM4</f>
        <v>6834014.8099999996</v>
      </c>
      <c r="AO4" s="277">
        <f t="shared" ref="AO4:AO67" si="2">AM4-P4</f>
        <v>6834014.8099999996</v>
      </c>
      <c r="AP4" s="331"/>
      <c r="AQ4" s="278">
        <f>AN4-AH4-AF4-AD4</f>
        <v>6834014.8099999996</v>
      </c>
      <c r="AR4" s="331">
        <f>IFERROR((VLOOKUP(B4,'АПП Баз'!$B$8:$Y$72,24,FALSE)*1000),0)</f>
        <v>37015831.23998858</v>
      </c>
      <c r="AS4" s="334">
        <f t="shared" ref="AS4:AS34" si="3">AQ4-AR4</f>
        <v>-30181816.429988582</v>
      </c>
    </row>
    <row r="5" spans="1:45" ht="18" customHeight="1" x14ac:dyDescent="0.25">
      <c r="A5" s="261">
        <v>2</v>
      </c>
      <c r="B5" s="5">
        <v>390800</v>
      </c>
      <c r="C5" s="6" t="s">
        <v>89</v>
      </c>
      <c r="D5" s="282"/>
      <c r="E5" s="263"/>
      <c r="F5" s="283"/>
      <c r="G5" s="282"/>
      <c r="H5" s="264"/>
      <c r="I5" s="262"/>
      <c r="J5" s="264"/>
      <c r="K5" s="262"/>
      <c r="L5" s="265">
        <v>1300</v>
      </c>
      <c r="M5" s="266">
        <v>1721577</v>
      </c>
      <c r="N5" s="264"/>
      <c r="O5" s="262"/>
      <c r="P5" s="267">
        <v>0</v>
      </c>
      <c r="Q5" s="265">
        <v>92192</v>
      </c>
      <c r="R5" s="266">
        <v>51737367.359999999</v>
      </c>
      <c r="S5" s="264"/>
      <c r="T5" s="262"/>
      <c r="U5" s="268">
        <v>0</v>
      </c>
      <c r="V5" s="269">
        <v>0</v>
      </c>
      <c r="W5" s="268">
        <v>0</v>
      </c>
      <c r="X5" s="269">
        <v>0</v>
      </c>
      <c r="Y5" s="268">
        <v>0</v>
      </c>
      <c r="Z5" s="269">
        <v>0</v>
      </c>
      <c r="AA5" s="268">
        <v>0</v>
      </c>
      <c r="AB5" s="269">
        <v>0</v>
      </c>
      <c r="AC5" s="270">
        <v>0</v>
      </c>
      <c r="AD5" s="271">
        <v>0</v>
      </c>
      <c r="AE5" s="270">
        <v>0</v>
      </c>
      <c r="AF5" s="271">
        <v>0</v>
      </c>
      <c r="AG5" s="270">
        <v>0</v>
      </c>
      <c r="AH5" s="271">
        <v>0</v>
      </c>
      <c r="AI5" s="272">
        <f t="shared" ref="AI5:AI68" si="4">L5+N5</f>
        <v>1300</v>
      </c>
      <c r="AJ5" s="272">
        <f t="shared" si="0"/>
        <v>92192</v>
      </c>
      <c r="AK5" s="273">
        <f t="shared" ref="AK5:AL68" si="5">U5+Y5+AA5</f>
        <v>0</v>
      </c>
      <c r="AL5" s="274">
        <f t="shared" si="5"/>
        <v>0</v>
      </c>
      <c r="AM5" s="275">
        <f t="shared" si="1"/>
        <v>53458944.359999999</v>
      </c>
      <c r="AN5" s="276">
        <f t="shared" ref="AN5:AN68" si="6">D5+E5+AM5</f>
        <v>53458944.359999999</v>
      </c>
      <c r="AO5" s="277">
        <f t="shared" si="2"/>
        <v>53458944.359999999</v>
      </c>
      <c r="AP5" s="331"/>
      <c r="AQ5" s="278">
        <f t="shared" ref="AQ5:AQ68" si="7">AN5-AH5-AF5-AD5</f>
        <v>53458944.359999999</v>
      </c>
      <c r="AR5" s="331">
        <f>IFERROR((VLOOKUP(B5,'АПП Баз'!$B$8:$Y$72,24,FALSE)*1000),0)</f>
        <v>118202609.38999942</v>
      </c>
      <c r="AS5" s="334">
        <f t="shared" si="3"/>
        <v>-64743665.02999942</v>
      </c>
    </row>
    <row r="6" spans="1:45" ht="18" customHeight="1" x14ac:dyDescent="0.25">
      <c r="A6" s="261">
        <v>3</v>
      </c>
      <c r="B6" s="5">
        <v>391100</v>
      </c>
      <c r="C6" s="6" t="s">
        <v>103</v>
      </c>
      <c r="D6" s="262"/>
      <c r="E6" s="263"/>
      <c r="F6" s="264"/>
      <c r="G6" s="262"/>
      <c r="H6" s="264"/>
      <c r="I6" s="262"/>
      <c r="J6" s="264"/>
      <c r="K6" s="262"/>
      <c r="L6" s="265">
        <v>0</v>
      </c>
      <c r="M6" s="266">
        <v>0</v>
      </c>
      <c r="N6" s="264"/>
      <c r="O6" s="262"/>
      <c r="P6" s="267">
        <v>66040000</v>
      </c>
      <c r="Q6" s="265">
        <v>2828</v>
      </c>
      <c r="R6" s="266">
        <v>890339.24</v>
      </c>
      <c r="S6" s="264"/>
      <c r="T6" s="262"/>
      <c r="U6" s="268">
        <v>0</v>
      </c>
      <c r="V6" s="269">
        <v>0</v>
      </c>
      <c r="W6" s="268">
        <v>0</v>
      </c>
      <c r="X6" s="269">
        <v>0</v>
      </c>
      <c r="Y6" s="268">
        <v>0</v>
      </c>
      <c r="Z6" s="269">
        <v>0</v>
      </c>
      <c r="AA6" s="268">
        <v>0</v>
      </c>
      <c r="AB6" s="269">
        <v>0</v>
      </c>
      <c r="AC6" s="270">
        <v>0</v>
      </c>
      <c r="AD6" s="271">
        <v>0</v>
      </c>
      <c r="AE6" s="270">
        <v>0</v>
      </c>
      <c r="AF6" s="271">
        <v>0</v>
      </c>
      <c r="AG6" s="270">
        <v>0</v>
      </c>
      <c r="AH6" s="271">
        <v>0</v>
      </c>
      <c r="AI6" s="272">
        <f t="shared" si="4"/>
        <v>0</v>
      </c>
      <c r="AJ6" s="272">
        <f t="shared" si="0"/>
        <v>2828</v>
      </c>
      <c r="AK6" s="273">
        <f t="shared" si="5"/>
        <v>0</v>
      </c>
      <c r="AL6" s="274">
        <f t="shared" si="5"/>
        <v>0</v>
      </c>
      <c r="AM6" s="275">
        <f t="shared" si="1"/>
        <v>66930339.240000002</v>
      </c>
      <c r="AN6" s="276">
        <f t="shared" si="6"/>
        <v>66930339.240000002</v>
      </c>
      <c r="AO6" s="277">
        <f t="shared" si="2"/>
        <v>890339.24000000209</v>
      </c>
      <c r="AP6" s="331"/>
      <c r="AQ6" s="278">
        <f t="shared" si="7"/>
        <v>66930339.240000002</v>
      </c>
      <c r="AR6" s="331">
        <f>IFERROR((VLOOKUP(B6,'АПП Баз'!$B$8:$Y$72,24,FALSE)*1000),0)</f>
        <v>21541169.929998908</v>
      </c>
      <c r="AS6" s="334">
        <f t="shared" si="3"/>
        <v>45389169.31000109</v>
      </c>
    </row>
    <row r="7" spans="1:45" ht="18" customHeight="1" x14ac:dyDescent="0.25">
      <c r="A7" s="261">
        <v>4</v>
      </c>
      <c r="B7" s="5">
        <v>390470</v>
      </c>
      <c r="C7" s="6" t="s">
        <v>88</v>
      </c>
      <c r="D7" s="262"/>
      <c r="E7" s="263"/>
      <c r="F7" s="264"/>
      <c r="G7" s="262"/>
      <c r="H7" s="264"/>
      <c r="I7" s="262"/>
      <c r="J7" s="264"/>
      <c r="K7" s="262"/>
      <c r="L7" s="265">
        <v>10200</v>
      </c>
      <c r="M7" s="266">
        <v>13507757.999999985</v>
      </c>
      <c r="N7" s="264"/>
      <c r="O7" s="262"/>
      <c r="P7" s="267">
        <v>0</v>
      </c>
      <c r="Q7" s="265">
        <v>192460</v>
      </c>
      <c r="R7" s="266">
        <v>60592181.799999997</v>
      </c>
      <c r="S7" s="264"/>
      <c r="T7" s="262"/>
      <c r="U7" s="268">
        <v>0</v>
      </c>
      <c r="V7" s="269">
        <v>0</v>
      </c>
      <c r="W7" s="268">
        <v>0</v>
      </c>
      <c r="X7" s="269">
        <v>0</v>
      </c>
      <c r="Y7" s="268">
        <v>0</v>
      </c>
      <c r="Z7" s="269">
        <v>0</v>
      </c>
      <c r="AA7" s="268">
        <v>0</v>
      </c>
      <c r="AB7" s="269">
        <v>0</v>
      </c>
      <c r="AC7" s="270">
        <v>0</v>
      </c>
      <c r="AD7" s="271">
        <v>0</v>
      </c>
      <c r="AE7" s="270">
        <v>0</v>
      </c>
      <c r="AF7" s="271">
        <v>0</v>
      </c>
      <c r="AG7" s="270">
        <v>0</v>
      </c>
      <c r="AH7" s="271">
        <v>0</v>
      </c>
      <c r="AI7" s="272">
        <f t="shared" si="4"/>
        <v>10200</v>
      </c>
      <c r="AJ7" s="272">
        <f t="shared" si="0"/>
        <v>192460</v>
      </c>
      <c r="AK7" s="273">
        <f t="shared" si="5"/>
        <v>0</v>
      </c>
      <c r="AL7" s="274">
        <f t="shared" si="5"/>
        <v>0</v>
      </c>
      <c r="AM7" s="275">
        <f t="shared" si="1"/>
        <v>74099939.799999982</v>
      </c>
      <c r="AN7" s="276">
        <f t="shared" si="6"/>
        <v>74099939.799999982</v>
      </c>
      <c r="AO7" s="277">
        <f>AM7-P7</f>
        <v>74099939.799999982</v>
      </c>
      <c r="AP7" s="331"/>
      <c r="AQ7" s="278">
        <f t="shared" si="7"/>
        <v>74099939.799999982</v>
      </c>
      <c r="AR7" s="331">
        <f>IFERROR((VLOOKUP(B7,'АПП Баз'!$B$8:$Y$72,24,FALSE)*1000),0)</f>
        <v>378614873.44997281</v>
      </c>
      <c r="AS7" s="334">
        <f t="shared" si="3"/>
        <v>-304514933.6499728</v>
      </c>
    </row>
    <row r="8" spans="1:45" ht="18" customHeight="1" x14ac:dyDescent="0.25">
      <c r="A8" s="261">
        <v>5</v>
      </c>
      <c r="B8" s="5">
        <v>390762</v>
      </c>
      <c r="C8" s="6" t="s">
        <v>111</v>
      </c>
      <c r="D8" s="262"/>
      <c r="E8" s="263"/>
      <c r="F8" s="264"/>
      <c r="G8" s="262"/>
      <c r="H8" s="264"/>
      <c r="I8" s="262"/>
      <c r="J8" s="264"/>
      <c r="K8" s="262"/>
      <c r="L8" s="265">
        <v>0</v>
      </c>
      <c r="M8" s="266">
        <v>0</v>
      </c>
      <c r="N8" s="284"/>
      <c r="O8" s="285"/>
      <c r="P8" s="267">
        <v>0</v>
      </c>
      <c r="Q8" s="265">
        <v>1216</v>
      </c>
      <c r="R8" s="266">
        <v>382833.28000000119</v>
      </c>
      <c r="S8" s="264">
        <v>1150</v>
      </c>
      <c r="T8" s="262">
        <v>22891900</v>
      </c>
      <c r="U8" s="268">
        <v>0</v>
      </c>
      <c r="V8" s="269">
        <v>0</v>
      </c>
      <c r="W8" s="268">
        <v>0</v>
      </c>
      <c r="X8" s="269">
        <v>0</v>
      </c>
      <c r="Y8" s="268">
        <v>0</v>
      </c>
      <c r="Z8" s="269">
        <v>0</v>
      </c>
      <c r="AA8" s="268">
        <v>0</v>
      </c>
      <c r="AB8" s="269">
        <v>0</v>
      </c>
      <c r="AC8" s="270">
        <v>0</v>
      </c>
      <c r="AD8" s="271">
        <v>0</v>
      </c>
      <c r="AE8" s="270">
        <v>0</v>
      </c>
      <c r="AF8" s="271">
        <v>0</v>
      </c>
      <c r="AG8" s="270">
        <v>0</v>
      </c>
      <c r="AH8" s="271">
        <v>0</v>
      </c>
      <c r="AI8" s="272">
        <f t="shared" si="4"/>
        <v>0</v>
      </c>
      <c r="AJ8" s="272">
        <f>Q8+S8+U8+W8+Y8+AA8+AE8+AG8</f>
        <v>2366</v>
      </c>
      <c r="AK8" s="273">
        <f t="shared" si="5"/>
        <v>0</v>
      </c>
      <c r="AL8" s="274">
        <f t="shared" si="5"/>
        <v>0</v>
      </c>
      <c r="AM8" s="275">
        <f t="shared" si="1"/>
        <v>23274733.280000001</v>
      </c>
      <c r="AN8" s="276">
        <f t="shared" si="6"/>
        <v>23274733.280000001</v>
      </c>
      <c r="AO8" s="277">
        <f t="shared" si="2"/>
        <v>23274733.280000001</v>
      </c>
      <c r="AP8" s="331"/>
      <c r="AQ8" s="278">
        <f t="shared" si="7"/>
        <v>23274733.280000001</v>
      </c>
      <c r="AR8" s="331">
        <f>IFERROR((VLOOKUP(B8,'АПП Баз'!$B$8:$Y$72,24,FALSE)*1000),0)</f>
        <v>16658715.879999999</v>
      </c>
      <c r="AS8" s="334">
        <f t="shared" si="3"/>
        <v>6616017.4000000022</v>
      </c>
    </row>
    <row r="9" spans="1:45" ht="18" customHeight="1" x14ac:dyDescent="0.25">
      <c r="A9" s="261">
        <v>6</v>
      </c>
      <c r="B9" s="5">
        <v>390050</v>
      </c>
      <c r="C9" s="6" t="s">
        <v>98</v>
      </c>
      <c r="D9" s="262"/>
      <c r="E9" s="263"/>
      <c r="F9" s="264"/>
      <c r="G9" s="262"/>
      <c r="H9" s="264"/>
      <c r="I9" s="262"/>
      <c r="J9" s="264"/>
      <c r="K9" s="262"/>
      <c r="L9" s="265">
        <v>25500</v>
      </c>
      <c r="M9" s="266">
        <v>33769395.000000007</v>
      </c>
      <c r="N9" s="264"/>
      <c r="O9" s="262"/>
      <c r="P9" s="267">
        <v>15000000</v>
      </c>
      <c r="Q9" s="265">
        <v>51556</v>
      </c>
      <c r="R9" s="266">
        <v>16231375.48</v>
      </c>
      <c r="S9" s="264"/>
      <c r="T9" s="262"/>
      <c r="U9" s="268">
        <v>0</v>
      </c>
      <c r="V9" s="269">
        <v>0</v>
      </c>
      <c r="W9" s="268">
        <v>0</v>
      </c>
      <c r="X9" s="269">
        <v>0</v>
      </c>
      <c r="Y9" s="268">
        <v>0</v>
      </c>
      <c r="Z9" s="269">
        <v>0</v>
      </c>
      <c r="AA9" s="268">
        <v>0</v>
      </c>
      <c r="AB9" s="269">
        <v>0</v>
      </c>
      <c r="AC9" s="270">
        <v>0</v>
      </c>
      <c r="AD9" s="271">
        <v>0</v>
      </c>
      <c r="AE9" s="270">
        <v>0</v>
      </c>
      <c r="AF9" s="271">
        <v>0</v>
      </c>
      <c r="AG9" s="270">
        <v>0</v>
      </c>
      <c r="AH9" s="271">
        <v>0</v>
      </c>
      <c r="AI9" s="272">
        <f t="shared" si="4"/>
        <v>25500</v>
      </c>
      <c r="AJ9" s="272">
        <f t="shared" si="0"/>
        <v>51556</v>
      </c>
      <c r="AK9" s="273">
        <f t="shared" si="5"/>
        <v>0</v>
      </c>
      <c r="AL9" s="274">
        <f t="shared" si="5"/>
        <v>0</v>
      </c>
      <c r="AM9" s="275">
        <f t="shared" si="1"/>
        <v>65000770.480000004</v>
      </c>
      <c r="AN9" s="276">
        <f t="shared" si="6"/>
        <v>65000770.480000004</v>
      </c>
      <c r="AO9" s="277">
        <f t="shared" si="2"/>
        <v>50000770.480000004</v>
      </c>
      <c r="AP9" s="331"/>
      <c r="AQ9" s="278">
        <f t="shared" si="7"/>
        <v>65000770.480000004</v>
      </c>
      <c r="AR9" s="331">
        <f>IFERROR((VLOOKUP(B9,'АПП Баз'!$B$8:$Y$72,24,FALSE)*1000),0)</f>
        <v>64280515.739998914</v>
      </c>
      <c r="AS9" s="334">
        <f t="shared" si="3"/>
        <v>720254.74000108987</v>
      </c>
    </row>
    <row r="10" spans="1:45" ht="18" customHeight="1" x14ac:dyDescent="0.25">
      <c r="A10" s="261">
        <v>7</v>
      </c>
      <c r="B10" s="5">
        <v>390070</v>
      </c>
      <c r="C10" s="6" t="s">
        <v>87</v>
      </c>
      <c r="D10" s="262"/>
      <c r="E10" s="263"/>
      <c r="F10" s="264"/>
      <c r="G10" s="262"/>
      <c r="H10" s="264"/>
      <c r="I10" s="262"/>
      <c r="J10" s="264"/>
      <c r="K10" s="262"/>
      <c r="L10" s="265">
        <v>0</v>
      </c>
      <c r="M10" s="266">
        <v>0</v>
      </c>
      <c r="N10" s="264"/>
      <c r="O10" s="262"/>
      <c r="P10" s="267">
        <v>0</v>
      </c>
      <c r="Q10" s="265">
        <v>52000</v>
      </c>
      <c r="R10" s="266">
        <v>61796280</v>
      </c>
      <c r="S10" s="264"/>
      <c r="T10" s="262"/>
      <c r="U10" s="268">
        <v>0</v>
      </c>
      <c r="V10" s="269">
        <v>0</v>
      </c>
      <c r="W10" s="268">
        <v>0</v>
      </c>
      <c r="X10" s="269">
        <v>0</v>
      </c>
      <c r="Y10" s="268">
        <v>0</v>
      </c>
      <c r="Z10" s="269">
        <v>0</v>
      </c>
      <c r="AA10" s="268">
        <v>0</v>
      </c>
      <c r="AB10" s="269">
        <v>0</v>
      </c>
      <c r="AC10" s="270">
        <v>0</v>
      </c>
      <c r="AD10" s="271">
        <v>0</v>
      </c>
      <c r="AE10" s="270">
        <v>0</v>
      </c>
      <c r="AF10" s="271">
        <v>0</v>
      </c>
      <c r="AG10" s="270">
        <v>0</v>
      </c>
      <c r="AH10" s="271">
        <v>0</v>
      </c>
      <c r="AI10" s="272">
        <f t="shared" si="4"/>
        <v>0</v>
      </c>
      <c r="AJ10" s="272">
        <f t="shared" si="0"/>
        <v>52000</v>
      </c>
      <c r="AK10" s="273">
        <f t="shared" si="5"/>
        <v>0</v>
      </c>
      <c r="AL10" s="274">
        <f t="shared" si="5"/>
        <v>0</v>
      </c>
      <c r="AM10" s="275">
        <f t="shared" si="1"/>
        <v>61796280</v>
      </c>
      <c r="AN10" s="276">
        <f t="shared" si="6"/>
        <v>61796280</v>
      </c>
      <c r="AO10" s="277">
        <f t="shared" si="2"/>
        <v>61796280</v>
      </c>
      <c r="AP10" s="331"/>
      <c r="AQ10" s="278">
        <f t="shared" si="7"/>
        <v>61796280</v>
      </c>
      <c r="AR10" s="331">
        <f>IFERROR((VLOOKUP(B10,'АПП Баз'!$B$8:$Y$72,24,FALSE)*1000),0)</f>
        <v>158047764.64000002</v>
      </c>
      <c r="AS10" s="334">
        <f t="shared" si="3"/>
        <v>-96251484.640000015</v>
      </c>
    </row>
    <row r="11" spans="1:45" ht="18" customHeight="1" x14ac:dyDescent="0.25">
      <c r="A11" s="261">
        <v>8</v>
      </c>
      <c r="B11" s="5">
        <v>390520</v>
      </c>
      <c r="C11" s="6" t="s">
        <v>112</v>
      </c>
      <c r="D11" s="262"/>
      <c r="E11" s="263"/>
      <c r="F11" s="264"/>
      <c r="G11" s="262"/>
      <c r="H11" s="264"/>
      <c r="I11" s="262"/>
      <c r="J11" s="264"/>
      <c r="K11" s="262"/>
      <c r="L11" s="265">
        <v>0</v>
      </c>
      <c r="M11" s="266">
        <v>0</v>
      </c>
      <c r="N11" s="264"/>
      <c r="O11" s="262"/>
      <c r="P11" s="267">
        <v>0</v>
      </c>
      <c r="Q11" s="265">
        <v>55600</v>
      </c>
      <c r="R11" s="266">
        <v>37296480</v>
      </c>
      <c r="S11" s="264"/>
      <c r="T11" s="262"/>
      <c r="U11" s="268">
        <v>0</v>
      </c>
      <c r="V11" s="269">
        <v>0</v>
      </c>
      <c r="W11" s="268">
        <v>0</v>
      </c>
      <c r="X11" s="269">
        <v>0</v>
      </c>
      <c r="Y11" s="268">
        <v>0</v>
      </c>
      <c r="Z11" s="269">
        <v>0</v>
      </c>
      <c r="AA11" s="268">
        <v>0</v>
      </c>
      <c r="AB11" s="269">
        <v>0</v>
      </c>
      <c r="AC11" s="270">
        <v>0</v>
      </c>
      <c r="AD11" s="271">
        <v>0</v>
      </c>
      <c r="AE11" s="270">
        <v>0</v>
      </c>
      <c r="AF11" s="271">
        <v>0</v>
      </c>
      <c r="AG11" s="270">
        <v>0</v>
      </c>
      <c r="AH11" s="271">
        <v>0</v>
      </c>
      <c r="AI11" s="272">
        <f t="shared" si="4"/>
        <v>0</v>
      </c>
      <c r="AJ11" s="272">
        <f t="shared" si="0"/>
        <v>55600</v>
      </c>
      <c r="AK11" s="273">
        <f t="shared" si="5"/>
        <v>0</v>
      </c>
      <c r="AL11" s="274">
        <f t="shared" si="5"/>
        <v>0</v>
      </c>
      <c r="AM11" s="275">
        <f t="shared" si="1"/>
        <v>37296480</v>
      </c>
      <c r="AN11" s="276">
        <f t="shared" si="6"/>
        <v>37296480</v>
      </c>
      <c r="AO11" s="277">
        <f t="shared" si="2"/>
        <v>37296480</v>
      </c>
      <c r="AP11" s="331"/>
      <c r="AQ11" s="278">
        <f t="shared" si="7"/>
        <v>37296480</v>
      </c>
      <c r="AR11" s="331">
        <f>IFERROR((VLOOKUP(B11,'АПП Баз'!$B$8:$Y$72,24,FALSE)*1000),0)</f>
        <v>67742750.400000006</v>
      </c>
      <c r="AS11" s="334">
        <f t="shared" si="3"/>
        <v>-30446270.400000006</v>
      </c>
    </row>
    <row r="12" spans="1:45" ht="18" customHeight="1" x14ac:dyDescent="0.25">
      <c r="A12" s="261">
        <v>9</v>
      </c>
      <c r="B12" s="5">
        <v>390130</v>
      </c>
      <c r="C12" s="6" t="s">
        <v>113</v>
      </c>
      <c r="D12" s="262"/>
      <c r="E12" s="263"/>
      <c r="F12" s="264"/>
      <c r="G12" s="262"/>
      <c r="H12" s="264"/>
      <c r="I12" s="262"/>
      <c r="J12" s="264"/>
      <c r="K12" s="262"/>
      <c r="L12" s="265">
        <v>5017</v>
      </c>
      <c r="M12" s="266">
        <v>6643962.9299999997</v>
      </c>
      <c r="N12" s="264"/>
      <c r="O12" s="262"/>
      <c r="P12" s="267">
        <v>0</v>
      </c>
      <c r="Q12" s="265">
        <v>70841</v>
      </c>
      <c r="R12" s="266">
        <v>22302872.030000001</v>
      </c>
      <c r="S12" s="264"/>
      <c r="T12" s="262"/>
      <c r="U12" s="268">
        <v>0</v>
      </c>
      <c r="V12" s="269">
        <v>0</v>
      </c>
      <c r="W12" s="268">
        <v>0</v>
      </c>
      <c r="X12" s="269">
        <v>0</v>
      </c>
      <c r="Y12" s="268">
        <v>0</v>
      </c>
      <c r="Z12" s="269">
        <v>0</v>
      </c>
      <c r="AA12" s="268">
        <v>0</v>
      </c>
      <c r="AB12" s="269">
        <v>0</v>
      </c>
      <c r="AC12" s="270">
        <v>0</v>
      </c>
      <c r="AD12" s="271">
        <v>0</v>
      </c>
      <c r="AE12" s="270">
        <v>0</v>
      </c>
      <c r="AF12" s="271">
        <v>0</v>
      </c>
      <c r="AG12" s="270">
        <v>0</v>
      </c>
      <c r="AH12" s="271">
        <v>0</v>
      </c>
      <c r="AI12" s="272">
        <f t="shared" si="4"/>
        <v>5017</v>
      </c>
      <c r="AJ12" s="272">
        <f t="shared" si="0"/>
        <v>70841</v>
      </c>
      <c r="AK12" s="273">
        <f t="shared" si="5"/>
        <v>0</v>
      </c>
      <c r="AL12" s="274">
        <f t="shared" si="5"/>
        <v>0</v>
      </c>
      <c r="AM12" s="275">
        <f t="shared" si="1"/>
        <v>28946834.960000001</v>
      </c>
      <c r="AN12" s="276">
        <f t="shared" si="6"/>
        <v>28946834.960000001</v>
      </c>
      <c r="AO12" s="277">
        <f t="shared" si="2"/>
        <v>28946834.960000001</v>
      </c>
      <c r="AP12" s="331"/>
      <c r="AQ12" s="278">
        <f t="shared" si="7"/>
        <v>28946834.960000001</v>
      </c>
      <c r="AR12" s="331">
        <f>IFERROR((VLOOKUP(B12,'АПП Баз'!$B$8:$Y$72,24,FALSE)*1000),0)</f>
        <v>32163041.099999994</v>
      </c>
      <c r="AS12" s="334">
        <f t="shared" si="3"/>
        <v>-3216206.1399999931</v>
      </c>
    </row>
    <row r="13" spans="1:45" ht="18" customHeight="1" x14ac:dyDescent="0.25">
      <c r="A13" s="261">
        <v>10</v>
      </c>
      <c r="B13" s="5">
        <v>390680</v>
      </c>
      <c r="C13" s="6" t="s">
        <v>114</v>
      </c>
      <c r="D13" s="262"/>
      <c r="E13" s="263"/>
      <c r="F13" s="264"/>
      <c r="G13" s="262"/>
      <c r="H13" s="264"/>
      <c r="I13" s="262"/>
      <c r="J13" s="264"/>
      <c r="K13" s="262"/>
      <c r="L13" s="265">
        <v>12356</v>
      </c>
      <c r="M13" s="266">
        <v>16362927.24</v>
      </c>
      <c r="N13" s="264"/>
      <c r="O13" s="262"/>
      <c r="P13" s="267">
        <v>0</v>
      </c>
      <c r="Q13" s="265">
        <v>79061</v>
      </c>
      <c r="R13" s="266">
        <v>24890774.629999999</v>
      </c>
      <c r="S13" s="264"/>
      <c r="T13" s="262"/>
      <c r="U13" s="268">
        <v>0</v>
      </c>
      <c r="V13" s="269">
        <v>0</v>
      </c>
      <c r="W13" s="268">
        <v>0</v>
      </c>
      <c r="X13" s="269">
        <v>0</v>
      </c>
      <c r="Y13" s="268">
        <v>0</v>
      </c>
      <c r="Z13" s="269">
        <v>0</v>
      </c>
      <c r="AA13" s="268">
        <v>0</v>
      </c>
      <c r="AB13" s="269">
        <v>0</v>
      </c>
      <c r="AC13" s="270">
        <v>1092.2179999999998</v>
      </c>
      <c r="AD13" s="271">
        <v>413000</v>
      </c>
      <c r="AE13" s="270">
        <v>788.26</v>
      </c>
      <c r="AF13" s="271">
        <v>333000</v>
      </c>
      <c r="AG13" s="270">
        <v>270.45600000000002</v>
      </c>
      <c r="AH13" s="271">
        <v>33000</v>
      </c>
      <c r="AI13" s="272">
        <f t="shared" si="4"/>
        <v>12356</v>
      </c>
      <c r="AJ13" s="272">
        <f t="shared" si="0"/>
        <v>80119.716</v>
      </c>
      <c r="AK13" s="273">
        <f t="shared" si="5"/>
        <v>0</v>
      </c>
      <c r="AL13" s="274">
        <f t="shared" si="5"/>
        <v>0</v>
      </c>
      <c r="AM13" s="275">
        <f t="shared" si="1"/>
        <v>42032701.869999997</v>
      </c>
      <c r="AN13" s="276">
        <f t="shared" si="6"/>
        <v>42032701.869999997</v>
      </c>
      <c r="AO13" s="277">
        <f t="shared" si="2"/>
        <v>42032701.869999997</v>
      </c>
      <c r="AP13" s="331"/>
      <c r="AQ13" s="278">
        <f t="shared" si="7"/>
        <v>41253701.869999997</v>
      </c>
      <c r="AR13" s="331">
        <f>IFERROR((VLOOKUP(B13,'АПП Баз'!$B$8:$Y$72,24,FALSE)*1000),0)</f>
        <v>46158204.280000001</v>
      </c>
      <c r="AS13" s="334">
        <f t="shared" si="3"/>
        <v>-4904502.4100000039</v>
      </c>
    </row>
    <row r="14" spans="1:45" ht="18" customHeight="1" x14ac:dyDescent="0.25">
      <c r="A14" s="261">
        <v>11</v>
      </c>
      <c r="B14" s="5">
        <v>390700</v>
      </c>
      <c r="C14" s="6" t="s">
        <v>115</v>
      </c>
      <c r="D14" s="262"/>
      <c r="E14" s="263"/>
      <c r="F14" s="264"/>
      <c r="G14" s="262"/>
      <c r="H14" s="264"/>
      <c r="I14" s="262"/>
      <c r="J14" s="264"/>
      <c r="K14" s="262"/>
      <c r="L14" s="265">
        <v>590</v>
      </c>
      <c r="M14" s="266">
        <v>781331.1</v>
      </c>
      <c r="N14" s="264"/>
      <c r="O14" s="262"/>
      <c r="P14" s="267">
        <v>0</v>
      </c>
      <c r="Q14" s="265">
        <v>1800</v>
      </c>
      <c r="R14" s="266">
        <v>566694</v>
      </c>
      <c r="S14" s="264"/>
      <c r="T14" s="262"/>
      <c r="U14" s="268">
        <v>0</v>
      </c>
      <c r="V14" s="269">
        <v>0</v>
      </c>
      <c r="W14" s="268">
        <v>0</v>
      </c>
      <c r="X14" s="269">
        <v>0</v>
      </c>
      <c r="Y14" s="268">
        <v>0</v>
      </c>
      <c r="Z14" s="269">
        <v>0</v>
      </c>
      <c r="AA14" s="268">
        <v>0</v>
      </c>
      <c r="AB14" s="269">
        <v>0</v>
      </c>
      <c r="AC14" s="270">
        <v>187.614</v>
      </c>
      <c r="AD14" s="271">
        <v>0</v>
      </c>
      <c r="AE14" s="270">
        <v>0</v>
      </c>
      <c r="AF14" s="271">
        <v>231000</v>
      </c>
      <c r="AG14" s="270">
        <v>187.614</v>
      </c>
      <c r="AH14" s="271">
        <v>0</v>
      </c>
      <c r="AI14" s="272">
        <f t="shared" si="4"/>
        <v>590</v>
      </c>
      <c r="AJ14" s="272">
        <f t="shared" si="0"/>
        <v>1987.614</v>
      </c>
      <c r="AK14" s="273">
        <f t="shared" si="5"/>
        <v>0</v>
      </c>
      <c r="AL14" s="274">
        <f t="shared" si="5"/>
        <v>0</v>
      </c>
      <c r="AM14" s="275">
        <f t="shared" si="1"/>
        <v>1579025.1</v>
      </c>
      <c r="AN14" s="276">
        <f t="shared" si="6"/>
        <v>1579025.1</v>
      </c>
      <c r="AO14" s="277">
        <f t="shared" si="2"/>
        <v>1579025.1</v>
      </c>
      <c r="AP14" s="331"/>
      <c r="AQ14" s="278">
        <f t="shared" si="7"/>
        <v>1348025.1</v>
      </c>
      <c r="AR14" s="331">
        <f>IFERROR((VLOOKUP(B14,'АПП Баз'!$B$8:$Y$72,24,FALSE)*1000),0)</f>
        <v>1157812.75</v>
      </c>
      <c r="AS14" s="334">
        <f t="shared" si="3"/>
        <v>190212.35000000009</v>
      </c>
    </row>
    <row r="15" spans="1:45" ht="18" customHeight="1" x14ac:dyDescent="0.25">
      <c r="A15" s="261">
        <v>12</v>
      </c>
      <c r="B15" s="5">
        <v>391610</v>
      </c>
      <c r="C15" s="6" t="s">
        <v>104</v>
      </c>
      <c r="D15" s="262"/>
      <c r="E15" s="263"/>
      <c r="F15" s="264"/>
      <c r="G15" s="262"/>
      <c r="H15" s="264"/>
      <c r="I15" s="262"/>
      <c r="J15" s="264"/>
      <c r="K15" s="262"/>
      <c r="L15" s="265">
        <v>0</v>
      </c>
      <c r="M15" s="266">
        <v>0</v>
      </c>
      <c r="N15" s="264"/>
      <c r="O15" s="262"/>
      <c r="P15" s="267">
        <v>0</v>
      </c>
      <c r="Q15" s="265">
        <v>21615</v>
      </c>
      <c r="R15" s="266">
        <v>6805050.4500000002</v>
      </c>
      <c r="S15" s="264"/>
      <c r="T15" s="262"/>
      <c r="U15" s="268">
        <v>0</v>
      </c>
      <c r="V15" s="269">
        <v>0</v>
      </c>
      <c r="W15" s="268">
        <v>0</v>
      </c>
      <c r="X15" s="269">
        <v>0</v>
      </c>
      <c r="Y15" s="268">
        <v>0</v>
      </c>
      <c r="Z15" s="269">
        <v>0</v>
      </c>
      <c r="AA15" s="268">
        <v>0</v>
      </c>
      <c r="AB15" s="269">
        <v>0</v>
      </c>
      <c r="AC15" s="270">
        <v>0</v>
      </c>
      <c r="AD15" s="271">
        <v>0</v>
      </c>
      <c r="AE15" s="270">
        <v>0</v>
      </c>
      <c r="AF15" s="271">
        <v>0</v>
      </c>
      <c r="AG15" s="270">
        <v>0</v>
      </c>
      <c r="AH15" s="271">
        <v>0</v>
      </c>
      <c r="AI15" s="272">
        <f t="shared" si="4"/>
        <v>0</v>
      </c>
      <c r="AJ15" s="272">
        <f t="shared" si="0"/>
        <v>21615</v>
      </c>
      <c r="AK15" s="273">
        <f t="shared" si="5"/>
        <v>0</v>
      </c>
      <c r="AL15" s="274">
        <f t="shared" si="5"/>
        <v>0</v>
      </c>
      <c r="AM15" s="275">
        <f t="shared" si="1"/>
        <v>6805050.4500000002</v>
      </c>
      <c r="AN15" s="276">
        <f t="shared" si="6"/>
        <v>6805050.4500000002</v>
      </c>
      <c r="AO15" s="277">
        <f t="shared" si="2"/>
        <v>6805050.4500000002</v>
      </c>
      <c r="AP15" s="331"/>
      <c r="AQ15" s="278">
        <f t="shared" si="7"/>
        <v>6805050.4500000002</v>
      </c>
      <c r="AR15" s="331">
        <f>IFERROR((VLOOKUP(B15,'АПП Баз'!$B$8:$Y$72,24,FALSE)*1000),0)</f>
        <v>46545994.8400001</v>
      </c>
      <c r="AS15" s="334">
        <f t="shared" si="3"/>
        <v>-39740944.390000097</v>
      </c>
    </row>
    <row r="16" spans="1:45" ht="16.5" customHeight="1" x14ac:dyDescent="0.25">
      <c r="A16" s="256">
        <v>13</v>
      </c>
      <c r="B16" s="5">
        <v>390440</v>
      </c>
      <c r="C16" s="67" t="s">
        <v>95</v>
      </c>
      <c r="D16" s="286">
        <v>160568991.77000001</v>
      </c>
      <c r="E16" s="263"/>
      <c r="F16" s="403">
        <v>133043</v>
      </c>
      <c r="G16" s="262">
        <v>104404877.73655231</v>
      </c>
      <c r="H16" s="264">
        <v>139848</v>
      </c>
      <c r="I16" s="262">
        <v>29646002.803447697</v>
      </c>
      <c r="J16" s="264">
        <v>38121</v>
      </c>
      <c r="K16" s="262">
        <v>26518111.23</v>
      </c>
      <c r="L16" s="265"/>
      <c r="M16" s="266"/>
      <c r="N16" s="264"/>
      <c r="O16" s="262"/>
      <c r="P16" s="267">
        <v>26000000</v>
      </c>
      <c r="Q16" s="265"/>
      <c r="R16" s="266"/>
      <c r="S16" s="264"/>
      <c r="T16" s="262"/>
      <c r="U16" s="268">
        <v>0</v>
      </c>
      <c r="V16" s="269">
        <v>0</v>
      </c>
      <c r="W16" s="268">
        <v>0</v>
      </c>
      <c r="X16" s="269">
        <v>0</v>
      </c>
      <c r="Y16" s="268">
        <v>0</v>
      </c>
      <c r="Z16" s="269">
        <v>0</v>
      </c>
      <c r="AA16" s="268">
        <v>0</v>
      </c>
      <c r="AB16" s="269">
        <v>0</v>
      </c>
      <c r="AC16" s="270">
        <v>0</v>
      </c>
      <c r="AD16" s="271">
        <v>0</v>
      </c>
      <c r="AE16" s="270">
        <v>0</v>
      </c>
      <c r="AF16" s="271">
        <v>0</v>
      </c>
      <c r="AG16" s="270">
        <v>0</v>
      </c>
      <c r="AH16" s="271">
        <v>0</v>
      </c>
      <c r="AI16" s="272">
        <f>L16+N16</f>
        <v>0</v>
      </c>
      <c r="AJ16" s="272">
        <f t="shared" si="0"/>
        <v>0</v>
      </c>
      <c r="AK16" s="273">
        <f t="shared" si="5"/>
        <v>0</v>
      </c>
      <c r="AL16" s="274">
        <f t="shared" si="5"/>
        <v>0</v>
      </c>
      <c r="AM16" s="275">
        <f t="shared" si="1"/>
        <v>26000000</v>
      </c>
      <c r="AN16" s="276">
        <f>D16+E16+AM16</f>
        <v>186568991.77000001</v>
      </c>
      <c r="AO16" s="277">
        <f t="shared" si="2"/>
        <v>0</v>
      </c>
      <c r="AP16" s="331"/>
      <c r="AQ16" s="278">
        <f>AN16-AH16-AF16-AD16</f>
        <v>186568991.77000001</v>
      </c>
      <c r="AR16" s="331">
        <f>IFERROR((VLOOKUP(B16,'АПП Баз'!$B$8:$Y$72,24,FALSE)*1000),0)</f>
        <v>373151424.03000003</v>
      </c>
      <c r="AS16" s="334">
        <f t="shared" si="3"/>
        <v>-186582432.26000002</v>
      </c>
    </row>
    <row r="17" spans="1:45" x14ac:dyDescent="0.25">
      <c r="A17" s="261">
        <v>14</v>
      </c>
      <c r="B17" s="5">
        <v>390100</v>
      </c>
      <c r="C17" s="67" t="s">
        <v>93</v>
      </c>
      <c r="D17" s="286">
        <v>129574814.07999998</v>
      </c>
      <c r="E17" s="263"/>
      <c r="F17" s="264">
        <v>107695</v>
      </c>
      <c r="G17" s="262">
        <v>84408205.121017545</v>
      </c>
      <c r="H17" s="264">
        <v>112780</v>
      </c>
      <c r="I17" s="262">
        <v>23967980.338982441</v>
      </c>
      <c r="J17" s="264">
        <v>30474</v>
      </c>
      <c r="K17" s="262">
        <v>21198628.620000001</v>
      </c>
      <c r="L17" s="265"/>
      <c r="M17" s="266"/>
      <c r="N17" s="264"/>
      <c r="O17" s="262"/>
      <c r="P17" s="267">
        <v>0</v>
      </c>
      <c r="Q17" s="265"/>
      <c r="R17" s="266"/>
      <c r="S17" s="264"/>
      <c r="T17" s="262"/>
      <c r="U17" s="268">
        <v>0</v>
      </c>
      <c r="V17" s="269">
        <v>0</v>
      </c>
      <c r="W17" s="268">
        <v>0</v>
      </c>
      <c r="X17" s="269">
        <v>0</v>
      </c>
      <c r="Y17" s="268">
        <v>0</v>
      </c>
      <c r="Z17" s="269">
        <v>0</v>
      </c>
      <c r="AA17" s="268">
        <v>0</v>
      </c>
      <c r="AB17" s="269">
        <v>0</v>
      </c>
      <c r="AC17" s="270">
        <v>10350.237999999999</v>
      </c>
      <c r="AD17" s="271">
        <v>4007000</v>
      </c>
      <c r="AE17" s="270">
        <v>7648.28</v>
      </c>
      <c r="AF17" s="271">
        <v>3020000</v>
      </c>
      <c r="AG17" s="270">
        <v>2452.194</v>
      </c>
      <c r="AH17" s="271">
        <v>246000</v>
      </c>
      <c r="AI17" s="272">
        <f>AC17</f>
        <v>10350.237999999999</v>
      </c>
      <c r="AJ17" s="272">
        <f>Q17+S17+U17+W17+Y17+AA17+AE17+AG17</f>
        <v>10100.474</v>
      </c>
      <c r="AK17" s="273">
        <f t="shared" si="5"/>
        <v>0</v>
      </c>
      <c r="AL17" s="274">
        <f t="shared" si="5"/>
        <v>0</v>
      </c>
      <c r="AM17" s="275">
        <f t="shared" si="1"/>
        <v>7273000</v>
      </c>
      <c r="AN17" s="276">
        <f t="shared" si="6"/>
        <v>136847814.07999998</v>
      </c>
      <c r="AO17" s="277">
        <f t="shared" si="2"/>
        <v>7273000</v>
      </c>
      <c r="AP17" s="331"/>
      <c r="AQ17" s="278">
        <f t="shared" si="7"/>
        <v>129574814.07999998</v>
      </c>
      <c r="AR17" s="331">
        <f>IFERROR((VLOOKUP(B17,'АПП Баз'!$B$8:$Y$72,24,FALSE)*1000),0)</f>
        <v>240682042.36000001</v>
      </c>
      <c r="AS17" s="334">
        <f t="shared" si="3"/>
        <v>-111107228.28000003</v>
      </c>
    </row>
    <row r="18" spans="1:45" x14ac:dyDescent="0.25">
      <c r="A18" s="261">
        <v>15</v>
      </c>
      <c r="B18" s="5">
        <v>390090</v>
      </c>
      <c r="C18" s="67" t="s">
        <v>92</v>
      </c>
      <c r="D18" s="286">
        <v>124849744.27</v>
      </c>
      <c r="E18" s="263"/>
      <c r="F18" s="264">
        <v>106259</v>
      </c>
      <c r="G18" s="262">
        <v>80915439.460187346</v>
      </c>
      <c r="H18" s="264">
        <v>111277</v>
      </c>
      <c r="I18" s="262">
        <v>22976364.169812649</v>
      </c>
      <c r="J18" s="264">
        <v>30128</v>
      </c>
      <c r="K18" s="262">
        <v>20957940.640000001</v>
      </c>
      <c r="L18" s="265"/>
      <c r="M18" s="266"/>
      <c r="N18" s="264"/>
      <c r="O18" s="262"/>
      <c r="P18" s="267">
        <v>0</v>
      </c>
      <c r="Q18" s="265"/>
      <c r="R18" s="266"/>
      <c r="S18" s="264"/>
      <c r="T18" s="262"/>
      <c r="U18" s="268">
        <v>0</v>
      </c>
      <c r="V18" s="269">
        <v>0</v>
      </c>
      <c r="W18" s="268">
        <v>0</v>
      </c>
      <c r="X18" s="269">
        <v>0</v>
      </c>
      <c r="Y18" s="268">
        <v>0</v>
      </c>
      <c r="Z18" s="269">
        <v>0</v>
      </c>
      <c r="AA18" s="268">
        <v>0</v>
      </c>
      <c r="AB18" s="269">
        <v>0</v>
      </c>
      <c r="AC18" s="270">
        <v>5239.2449999999999</v>
      </c>
      <c r="AD18" s="271">
        <v>2051000</v>
      </c>
      <c r="AE18" s="270">
        <v>3914.58</v>
      </c>
      <c r="AF18" s="271">
        <v>1481000</v>
      </c>
      <c r="AG18" s="270">
        <v>1202.8389999999999</v>
      </c>
      <c r="AH18" s="271">
        <v>120000</v>
      </c>
      <c r="AI18" s="272">
        <f t="shared" ref="AI18:AI62" si="8">AC18</f>
        <v>5239.2449999999999</v>
      </c>
      <c r="AJ18" s="272">
        <f t="shared" si="0"/>
        <v>5117.4189999999999</v>
      </c>
      <c r="AK18" s="273">
        <f t="shared" si="5"/>
        <v>0</v>
      </c>
      <c r="AL18" s="274">
        <f t="shared" si="5"/>
        <v>0</v>
      </c>
      <c r="AM18" s="275">
        <f t="shared" si="1"/>
        <v>3652000</v>
      </c>
      <c r="AN18" s="276">
        <f t="shared" si="6"/>
        <v>128501744.27</v>
      </c>
      <c r="AO18" s="277">
        <f t="shared" si="2"/>
        <v>3652000</v>
      </c>
      <c r="AP18" s="331"/>
      <c r="AQ18" s="278">
        <f t="shared" si="7"/>
        <v>124849744.27</v>
      </c>
      <c r="AR18" s="331">
        <f>IFERROR((VLOOKUP(B18,'АПП Баз'!$B$8:$Y$72,24,FALSE)*1000),0)</f>
        <v>238160846.91000003</v>
      </c>
      <c r="AS18" s="334">
        <f t="shared" si="3"/>
        <v>-113311102.64000003</v>
      </c>
    </row>
    <row r="19" spans="1:45" x14ac:dyDescent="0.25">
      <c r="A19" s="256">
        <v>16</v>
      </c>
      <c r="B19" s="5">
        <v>390400</v>
      </c>
      <c r="C19" s="67" t="s">
        <v>94</v>
      </c>
      <c r="D19" s="286">
        <f>276881207.5</f>
        <v>276881207.5</v>
      </c>
      <c r="E19" s="263"/>
      <c r="F19" s="403">
        <v>227613</v>
      </c>
      <c r="G19" s="262">
        <v>180382291.55251271</v>
      </c>
      <c r="H19" s="403">
        <v>239127</v>
      </c>
      <c r="I19" s="262">
        <v>51220305.167487301</v>
      </c>
      <c r="J19" s="264">
        <v>65091</v>
      </c>
      <c r="K19" s="262">
        <v>45278610.780000001</v>
      </c>
      <c r="L19" s="265"/>
      <c r="M19" s="266"/>
      <c r="N19" s="264"/>
      <c r="O19" s="262"/>
      <c r="P19" s="267">
        <v>0</v>
      </c>
      <c r="Q19" s="265"/>
      <c r="R19" s="266"/>
      <c r="S19" s="264"/>
      <c r="T19" s="262"/>
      <c r="U19" s="268">
        <v>0</v>
      </c>
      <c r="V19" s="269">
        <v>0</v>
      </c>
      <c r="W19" s="268">
        <v>0</v>
      </c>
      <c r="X19" s="269">
        <v>0</v>
      </c>
      <c r="Y19" s="268">
        <v>0</v>
      </c>
      <c r="Z19" s="269">
        <v>0</v>
      </c>
      <c r="AA19" s="268">
        <v>0</v>
      </c>
      <c r="AB19" s="269">
        <v>0</v>
      </c>
      <c r="AC19" s="270">
        <v>1693.6779999999999</v>
      </c>
      <c r="AD19" s="271">
        <v>531000</v>
      </c>
      <c r="AE19" s="270">
        <v>1013.477</v>
      </c>
      <c r="AF19" s="271">
        <v>760000</v>
      </c>
      <c r="AG19" s="270">
        <v>617.25699999999995</v>
      </c>
      <c r="AH19" s="271">
        <v>62000</v>
      </c>
      <c r="AI19" s="272">
        <f t="shared" si="8"/>
        <v>1693.6779999999999</v>
      </c>
      <c r="AJ19" s="272">
        <f t="shared" si="0"/>
        <v>1630.7339999999999</v>
      </c>
      <c r="AK19" s="273">
        <f t="shared" si="5"/>
        <v>0</v>
      </c>
      <c r="AL19" s="274">
        <f t="shared" si="5"/>
        <v>0</v>
      </c>
      <c r="AM19" s="275">
        <f>R19+M19+O19+P19+T19+V19+X19+Z19+AB19+AD19+AF19+AH19</f>
        <v>1353000</v>
      </c>
      <c r="AN19" s="276">
        <f>D19+E19+AM19</f>
        <v>278234207.5</v>
      </c>
      <c r="AO19" s="277">
        <f t="shared" si="2"/>
        <v>1353000</v>
      </c>
      <c r="AP19" s="331"/>
      <c r="AQ19" s="278">
        <f t="shared" si="7"/>
        <v>276881207.5</v>
      </c>
      <c r="AR19" s="331">
        <f>IFERROR((VLOOKUP(B19,'АПП Баз'!$B$8:$Y$72,24,FALSE)*1000),0)</f>
        <v>558094770.97000003</v>
      </c>
      <c r="AS19" s="334">
        <f t="shared" si="3"/>
        <v>-281213563.47000003</v>
      </c>
    </row>
    <row r="20" spans="1:45" x14ac:dyDescent="0.25">
      <c r="A20" s="261">
        <v>17</v>
      </c>
      <c r="B20" s="5">
        <v>390110</v>
      </c>
      <c r="C20" s="67" t="s">
        <v>99</v>
      </c>
      <c r="D20" s="286">
        <v>17886099.390000001</v>
      </c>
      <c r="E20" s="263"/>
      <c r="F20" s="264">
        <v>17231</v>
      </c>
      <c r="G20" s="262">
        <v>11283260.526238635</v>
      </c>
      <c r="H20" s="264">
        <v>18045</v>
      </c>
      <c r="I20" s="262">
        <v>3203990.6837613648</v>
      </c>
      <c r="J20" s="264">
        <v>4886</v>
      </c>
      <c r="K20" s="262">
        <v>3398848.18</v>
      </c>
      <c r="L20" s="265"/>
      <c r="M20" s="266"/>
      <c r="N20" s="264"/>
      <c r="O20" s="262"/>
      <c r="P20" s="267">
        <v>0</v>
      </c>
      <c r="Q20" s="265"/>
      <c r="R20" s="266"/>
      <c r="S20" s="264"/>
      <c r="T20" s="262"/>
      <c r="U20" s="268">
        <v>0</v>
      </c>
      <c r="V20" s="269">
        <v>0</v>
      </c>
      <c r="W20" s="268">
        <v>0</v>
      </c>
      <c r="X20" s="269">
        <v>0</v>
      </c>
      <c r="Y20" s="268">
        <v>0</v>
      </c>
      <c r="Z20" s="269">
        <v>0</v>
      </c>
      <c r="AA20" s="268">
        <v>0</v>
      </c>
      <c r="AB20" s="269">
        <v>0</v>
      </c>
      <c r="AC20" s="270">
        <v>3925.2609999999995</v>
      </c>
      <c r="AD20" s="271">
        <v>1500000</v>
      </c>
      <c r="AE20" s="270">
        <v>2862.93</v>
      </c>
      <c r="AF20" s="271">
        <v>1188000</v>
      </c>
      <c r="AG20" s="270">
        <v>964.87</v>
      </c>
      <c r="AH20" s="271">
        <v>96000</v>
      </c>
      <c r="AI20" s="272">
        <f t="shared" si="8"/>
        <v>3925.2609999999995</v>
      </c>
      <c r="AJ20" s="272">
        <f t="shared" si="0"/>
        <v>3827.7999999999997</v>
      </c>
      <c r="AK20" s="273">
        <f t="shared" si="5"/>
        <v>0</v>
      </c>
      <c r="AL20" s="274">
        <f t="shared" si="5"/>
        <v>0</v>
      </c>
      <c r="AM20" s="275">
        <f t="shared" si="1"/>
        <v>2784000</v>
      </c>
      <c r="AN20" s="276">
        <f t="shared" si="6"/>
        <v>20670099.390000001</v>
      </c>
      <c r="AO20" s="277">
        <f t="shared" si="2"/>
        <v>2784000</v>
      </c>
      <c r="AP20" s="331"/>
      <c r="AQ20" s="278">
        <f t="shared" si="7"/>
        <v>17886099.390000001</v>
      </c>
      <c r="AR20" s="331">
        <f>IFERROR((VLOOKUP(B20,'АПП Баз'!$B$8:$Y$72,24,FALSE)*1000),0)</f>
        <v>38825869.959999993</v>
      </c>
      <c r="AS20" s="334">
        <f t="shared" si="3"/>
        <v>-20939770.569999993</v>
      </c>
    </row>
    <row r="21" spans="1:45" x14ac:dyDescent="0.25">
      <c r="A21" s="261">
        <v>18</v>
      </c>
      <c r="B21" s="5">
        <v>390890</v>
      </c>
      <c r="C21" s="67" t="s">
        <v>116</v>
      </c>
      <c r="D21" s="286">
        <v>403940105.69</v>
      </c>
      <c r="E21" s="263"/>
      <c r="F21" s="403">
        <v>161385</v>
      </c>
      <c r="G21" s="262">
        <v>289482725.81310081</v>
      </c>
      <c r="H21" s="264">
        <v>169924</v>
      </c>
      <c r="I21" s="262">
        <v>82202408.036899239</v>
      </c>
      <c r="J21" s="264">
        <v>46368</v>
      </c>
      <c r="K21" s="262">
        <v>32254971.84</v>
      </c>
      <c r="L21" s="265"/>
      <c r="M21" s="266"/>
      <c r="N21" s="264"/>
      <c r="O21" s="262"/>
      <c r="P21" s="267">
        <v>0</v>
      </c>
      <c r="Q21" s="265"/>
      <c r="R21" s="266"/>
      <c r="S21" s="264">
        <v>500</v>
      </c>
      <c r="T21" s="262">
        <v>9953000</v>
      </c>
      <c r="U21" s="268">
        <v>0</v>
      </c>
      <c r="V21" s="269">
        <v>0</v>
      </c>
      <c r="W21" s="268">
        <v>0</v>
      </c>
      <c r="X21" s="269">
        <v>0</v>
      </c>
      <c r="Y21" s="268">
        <v>0</v>
      </c>
      <c r="Z21" s="269">
        <v>0</v>
      </c>
      <c r="AA21" s="268">
        <v>0</v>
      </c>
      <c r="AB21" s="269">
        <v>0</v>
      </c>
      <c r="AC21" s="270">
        <v>3804.49</v>
      </c>
      <c r="AD21" s="271">
        <v>1213000</v>
      </c>
      <c r="AE21" s="270">
        <v>2315.1559999999999</v>
      </c>
      <c r="AF21" s="271">
        <v>1640000</v>
      </c>
      <c r="AG21" s="270">
        <v>1331.9749999999999</v>
      </c>
      <c r="AH21" s="271">
        <v>155000</v>
      </c>
      <c r="AI21" s="272">
        <f t="shared" si="8"/>
        <v>3804.49</v>
      </c>
      <c r="AJ21" s="272">
        <f t="shared" si="0"/>
        <v>4147.1309999999994</v>
      </c>
      <c r="AK21" s="273">
        <f t="shared" si="5"/>
        <v>0</v>
      </c>
      <c r="AL21" s="274">
        <f t="shared" si="5"/>
        <v>0</v>
      </c>
      <c r="AM21" s="275">
        <f t="shared" si="1"/>
        <v>12961000</v>
      </c>
      <c r="AN21" s="276">
        <f t="shared" si="6"/>
        <v>416901105.69</v>
      </c>
      <c r="AO21" s="277">
        <f t="shared" si="2"/>
        <v>12961000</v>
      </c>
      <c r="AP21" s="331"/>
      <c r="AQ21" s="278">
        <f t="shared" si="7"/>
        <v>413893105.69</v>
      </c>
      <c r="AR21" s="331">
        <f>IFERROR((VLOOKUP(B21,'АПП Баз'!$B$8:$Y$72,24,FALSE)*1000),0)</f>
        <v>676238169.05999982</v>
      </c>
      <c r="AS21" s="334">
        <f t="shared" si="3"/>
        <v>-262345063.36999983</v>
      </c>
    </row>
    <row r="22" spans="1:45" x14ac:dyDescent="0.25">
      <c r="A22" s="256">
        <v>19</v>
      </c>
      <c r="B22" s="5">
        <v>390200</v>
      </c>
      <c r="C22" s="67" t="s">
        <v>29</v>
      </c>
      <c r="D22" s="286">
        <v>53481529.769999996</v>
      </c>
      <c r="E22" s="263">
        <v>24105851.039999999</v>
      </c>
      <c r="F22" s="264">
        <v>34462</v>
      </c>
      <c r="G22" s="262">
        <v>36354934.093283691</v>
      </c>
      <c r="H22" s="264">
        <v>36090</v>
      </c>
      <c r="I22" s="262">
        <v>10323334.276716305</v>
      </c>
      <c r="J22" s="264">
        <v>9780</v>
      </c>
      <c r="K22" s="262">
        <v>6803261.4000000004</v>
      </c>
      <c r="L22" s="265"/>
      <c r="M22" s="266"/>
      <c r="N22" s="264"/>
      <c r="O22" s="262"/>
      <c r="P22" s="267">
        <v>0</v>
      </c>
      <c r="Q22" s="265"/>
      <c r="R22" s="266"/>
      <c r="S22" s="264"/>
      <c r="T22" s="262"/>
      <c r="U22" s="268">
        <v>0</v>
      </c>
      <c r="V22" s="269">
        <v>0</v>
      </c>
      <c r="W22" s="268">
        <v>0</v>
      </c>
      <c r="X22" s="269">
        <v>0</v>
      </c>
      <c r="Y22" s="268">
        <v>0</v>
      </c>
      <c r="Z22" s="269">
        <v>0</v>
      </c>
      <c r="AA22" s="268">
        <v>0</v>
      </c>
      <c r="AB22" s="269">
        <v>0</v>
      </c>
      <c r="AC22" s="270">
        <v>8488.9359999999997</v>
      </c>
      <c r="AD22" s="271">
        <v>3063000</v>
      </c>
      <c r="AE22" s="270">
        <v>5846.1030000000001</v>
      </c>
      <c r="AF22" s="271">
        <v>2954000</v>
      </c>
      <c r="AG22" s="270">
        <v>2399.1799999999998</v>
      </c>
      <c r="AH22" s="271">
        <v>240000</v>
      </c>
      <c r="AI22" s="272">
        <f t="shared" si="8"/>
        <v>8488.9359999999997</v>
      </c>
      <c r="AJ22" s="272">
        <f t="shared" si="0"/>
        <v>8245.2829999999994</v>
      </c>
      <c r="AK22" s="273">
        <f t="shared" si="5"/>
        <v>0</v>
      </c>
      <c r="AL22" s="274">
        <f t="shared" si="5"/>
        <v>0</v>
      </c>
      <c r="AM22" s="275">
        <f t="shared" si="1"/>
        <v>6257000</v>
      </c>
      <c r="AN22" s="276">
        <f t="shared" si="6"/>
        <v>83844380.810000002</v>
      </c>
      <c r="AO22" s="277">
        <f t="shared" si="2"/>
        <v>6257000</v>
      </c>
      <c r="AP22" s="331"/>
      <c r="AQ22" s="278">
        <f t="shared" si="7"/>
        <v>77587380.810000002</v>
      </c>
      <c r="AR22" s="331">
        <f>IFERROR((VLOOKUP(B22,'АПП Баз'!$B$8:$Y$72,24,FALSE)*1000),0)</f>
        <v>115245386.17</v>
      </c>
      <c r="AS22" s="334">
        <f t="shared" si="3"/>
        <v>-37658005.359999999</v>
      </c>
    </row>
    <row r="23" spans="1:45" x14ac:dyDescent="0.25">
      <c r="A23" s="261">
        <v>20</v>
      </c>
      <c r="B23" s="5">
        <v>390160</v>
      </c>
      <c r="C23" s="67" t="s">
        <v>30</v>
      </c>
      <c r="D23" s="286">
        <v>70931863.510000005</v>
      </c>
      <c r="E23" s="263">
        <v>0</v>
      </c>
      <c r="F23" s="264">
        <v>35898</v>
      </c>
      <c r="G23" s="262">
        <v>49704572.559349731</v>
      </c>
      <c r="H23" s="264">
        <v>37593</v>
      </c>
      <c r="I23" s="262">
        <v>14113778.570650272</v>
      </c>
      <c r="J23" s="264">
        <v>10226</v>
      </c>
      <c r="K23" s="262">
        <v>7113512.3799999999</v>
      </c>
      <c r="L23" s="265"/>
      <c r="M23" s="266"/>
      <c r="N23" s="264"/>
      <c r="O23" s="262"/>
      <c r="P23" s="267">
        <v>0</v>
      </c>
      <c r="Q23" s="265"/>
      <c r="R23" s="266"/>
      <c r="S23" s="264"/>
      <c r="T23" s="262"/>
      <c r="U23" s="268">
        <v>0</v>
      </c>
      <c r="V23" s="269">
        <v>0</v>
      </c>
      <c r="W23" s="268">
        <v>0</v>
      </c>
      <c r="X23" s="269">
        <v>0</v>
      </c>
      <c r="Y23" s="268">
        <v>0</v>
      </c>
      <c r="Z23" s="269">
        <v>0</v>
      </c>
      <c r="AA23" s="268">
        <v>0</v>
      </c>
      <c r="AB23" s="269">
        <v>0</v>
      </c>
      <c r="AC23" s="270">
        <v>2780.6980000000003</v>
      </c>
      <c r="AD23" s="271">
        <v>980000</v>
      </c>
      <c r="AE23" s="270">
        <v>1870.4480000000001</v>
      </c>
      <c r="AF23" s="271">
        <v>947000</v>
      </c>
      <c r="AG23" s="270">
        <v>769.13400000000001</v>
      </c>
      <c r="AH23" s="271">
        <v>139000</v>
      </c>
      <c r="AI23" s="272">
        <f t="shared" si="8"/>
        <v>2780.6980000000003</v>
      </c>
      <c r="AJ23" s="272">
        <f t="shared" si="0"/>
        <v>2639.5820000000003</v>
      </c>
      <c r="AK23" s="273">
        <f t="shared" si="5"/>
        <v>0</v>
      </c>
      <c r="AL23" s="274">
        <f t="shared" si="5"/>
        <v>0</v>
      </c>
      <c r="AM23" s="275">
        <f t="shared" si="1"/>
        <v>2066000</v>
      </c>
      <c r="AN23" s="276">
        <f t="shared" si="6"/>
        <v>72997863.510000005</v>
      </c>
      <c r="AO23" s="277">
        <f t="shared" si="2"/>
        <v>2066000</v>
      </c>
      <c r="AP23" s="331"/>
      <c r="AQ23" s="278">
        <f t="shared" si="7"/>
        <v>70931863.510000005</v>
      </c>
      <c r="AR23" s="331">
        <f>IFERROR((VLOOKUP(B23,'АПП Баз'!$B$8:$Y$72,24,FALSE)*1000),0)</f>
        <v>104856456.30999999</v>
      </c>
      <c r="AS23" s="334">
        <f t="shared" si="3"/>
        <v>-33924592.799999982</v>
      </c>
    </row>
    <row r="24" spans="1:45" x14ac:dyDescent="0.25">
      <c r="A24" s="261">
        <v>21</v>
      </c>
      <c r="B24" s="201">
        <v>390210</v>
      </c>
      <c r="C24" s="67" t="s">
        <v>31</v>
      </c>
      <c r="D24" s="286">
        <v>44614127.180000007</v>
      </c>
      <c r="E24" s="263">
        <v>15464233.92</v>
      </c>
      <c r="F24" s="264">
        <v>35898</v>
      </c>
      <c r="G24" s="262">
        <v>29202271.955040712</v>
      </c>
      <c r="H24" s="264">
        <v>37593</v>
      </c>
      <c r="I24" s="262">
        <v>8292082.1749592992</v>
      </c>
      <c r="J24" s="264">
        <v>10235</v>
      </c>
      <c r="K24" s="262">
        <v>7119773.0499999998</v>
      </c>
      <c r="L24" s="265"/>
      <c r="M24" s="266"/>
      <c r="N24" s="264"/>
      <c r="O24" s="262"/>
      <c r="P24" s="267">
        <v>0</v>
      </c>
      <c r="Q24" s="265"/>
      <c r="R24" s="266"/>
      <c r="S24" s="264"/>
      <c r="T24" s="262"/>
      <c r="U24" s="268">
        <v>0</v>
      </c>
      <c r="V24" s="269">
        <v>0</v>
      </c>
      <c r="W24" s="268">
        <v>0</v>
      </c>
      <c r="X24" s="269">
        <v>0</v>
      </c>
      <c r="Y24" s="268">
        <v>0</v>
      </c>
      <c r="Z24" s="269">
        <v>0</v>
      </c>
      <c r="AA24" s="268">
        <v>0</v>
      </c>
      <c r="AB24" s="269">
        <v>0</v>
      </c>
      <c r="AC24" s="270">
        <v>4951.8540000000003</v>
      </c>
      <c r="AD24" s="271">
        <v>2180000</v>
      </c>
      <c r="AE24" s="270">
        <v>4160.7920000000004</v>
      </c>
      <c r="AF24" s="271">
        <v>819000</v>
      </c>
      <c r="AG24" s="270">
        <v>665.17499999999995</v>
      </c>
      <c r="AH24" s="271">
        <v>124000</v>
      </c>
      <c r="AI24" s="272">
        <f t="shared" si="8"/>
        <v>4951.8540000000003</v>
      </c>
      <c r="AJ24" s="272">
        <f t="shared" si="0"/>
        <v>4825.9670000000006</v>
      </c>
      <c r="AK24" s="273">
        <f t="shared" si="5"/>
        <v>0</v>
      </c>
      <c r="AL24" s="274">
        <f t="shared" si="5"/>
        <v>0</v>
      </c>
      <c r="AM24" s="275">
        <f t="shared" si="1"/>
        <v>3123000</v>
      </c>
      <c r="AN24" s="276">
        <f t="shared" si="6"/>
        <v>63201361.100000009</v>
      </c>
      <c r="AO24" s="277">
        <f t="shared" si="2"/>
        <v>3123000</v>
      </c>
      <c r="AP24" s="331"/>
      <c r="AQ24" s="278">
        <f t="shared" si="7"/>
        <v>60078361.100000009</v>
      </c>
      <c r="AR24" s="331">
        <f>IFERROR((VLOOKUP(B24,'АПП Баз'!$B$8:$Y$72,24,FALSE)*1000),0)</f>
        <v>115408492.14</v>
      </c>
      <c r="AS24" s="334">
        <f t="shared" si="3"/>
        <v>-55330131.039999992</v>
      </c>
    </row>
    <row r="25" spans="1:45" x14ac:dyDescent="0.25">
      <c r="A25" s="256">
        <v>22</v>
      </c>
      <c r="B25" s="5">
        <v>390220</v>
      </c>
      <c r="C25" s="67" t="s">
        <v>181</v>
      </c>
      <c r="D25" s="286">
        <v>157743158.06</v>
      </c>
      <c r="E25" s="263">
        <v>27698768.879999999</v>
      </c>
      <c r="F25" s="264">
        <v>99079</v>
      </c>
      <c r="G25" s="262">
        <v>107601559.68585862</v>
      </c>
      <c r="H25" s="264">
        <v>103758</v>
      </c>
      <c r="I25" s="262">
        <v>30554048.834141389</v>
      </c>
      <c r="J25" s="264">
        <v>28158</v>
      </c>
      <c r="K25" s="262">
        <v>19587549.539999999</v>
      </c>
      <c r="L25" s="265"/>
      <c r="M25" s="266"/>
      <c r="N25" s="264"/>
      <c r="O25" s="262"/>
      <c r="P25" s="267">
        <v>0</v>
      </c>
      <c r="Q25" s="265"/>
      <c r="R25" s="266"/>
      <c r="S25" s="264"/>
      <c r="T25" s="262"/>
      <c r="U25" s="268">
        <v>0</v>
      </c>
      <c r="V25" s="269">
        <v>0</v>
      </c>
      <c r="W25" s="268">
        <v>0</v>
      </c>
      <c r="X25" s="269">
        <v>0</v>
      </c>
      <c r="Y25" s="268">
        <v>0</v>
      </c>
      <c r="Z25" s="269">
        <v>0</v>
      </c>
      <c r="AA25" s="268">
        <v>0</v>
      </c>
      <c r="AB25" s="269">
        <v>0</v>
      </c>
      <c r="AC25" s="270">
        <v>17346.356</v>
      </c>
      <c r="AD25" s="271">
        <v>6828000</v>
      </c>
      <c r="AE25" s="270">
        <v>13032.057000000001</v>
      </c>
      <c r="AF25" s="271">
        <v>4982000</v>
      </c>
      <c r="AG25" s="270">
        <v>4046.2809999999999</v>
      </c>
      <c r="AH25" s="271">
        <v>264000</v>
      </c>
      <c r="AI25" s="272">
        <f t="shared" si="8"/>
        <v>17346.356</v>
      </c>
      <c r="AJ25" s="272">
        <f t="shared" si="0"/>
        <v>17078.338</v>
      </c>
      <c r="AK25" s="273">
        <f t="shared" si="5"/>
        <v>0</v>
      </c>
      <c r="AL25" s="274">
        <f t="shared" si="5"/>
        <v>0</v>
      </c>
      <c r="AM25" s="275">
        <f t="shared" si="1"/>
        <v>12074000</v>
      </c>
      <c r="AN25" s="276">
        <f t="shared" si="6"/>
        <v>197515926.94</v>
      </c>
      <c r="AO25" s="277">
        <f t="shared" si="2"/>
        <v>12074000</v>
      </c>
      <c r="AP25" s="331"/>
      <c r="AQ25" s="278">
        <f t="shared" si="7"/>
        <v>185441926.94</v>
      </c>
      <c r="AR25" s="331">
        <f>IFERROR((VLOOKUP(B25,'АПП Баз'!$B$8:$Y$72,24,FALSE)*1000),0)</f>
        <v>252184669.09999999</v>
      </c>
      <c r="AS25" s="334">
        <f t="shared" si="3"/>
        <v>-66742742.159999996</v>
      </c>
    </row>
    <row r="26" spans="1:45" x14ac:dyDescent="0.25">
      <c r="A26" s="261">
        <v>23</v>
      </c>
      <c r="B26" s="5">
        <v>390230</v>
      </c>
      <c r="C26" s="67" t="s">
        <v>33</v>
      </c>
      <c r="D26" s="286">
        <v>70512639.900000006</v>
      </c>
      <c r="E26" s="263">
        <v>12820465.560000001</v>
      </c>
      <c r="F26" s="264">
        <v>41642</v>
      </c>
      <c r="G26" s="262">
        <v>48604442.870047398</v>
      </c>
      <c r="H26" s="264">
        <v>43608</v>
      </c>
      <c r="I26" s="262">
        <v>13801325.009952612</v>
      </c>
      <c r="J26" s="264">
        <v>11654</v>
      </c>
      <c r="K26" s="262">
        <v>8106872.0199999996</v>
      </c>
      <c r="L26" s="265"/>
      <c r="M26" s="266"/>
      <c r="N26" s="264"/>
      <c r="O26" s="262"/>
      <c r="P26" s="267">
        <v>0</v>
      </c>
      <c r="Q26" s="265"/>
      <c r="R26" s="266"/>
      <c r="S26" s="264"/>
      <c r="T26" s="262"/>
      <c r="U26" s="268">
        <v>0</v>
      </c>
      <c r="V26" s="269">
        <v>0</v>
      </c>
      <c r="W26" s="268">
        <v>0</v>
      </c>
      <c r="X26" s="269">
        <v>0</v>
      </c>
      <c r="Y26" s="268">
        <v>0</v>
      </c>
      <c r="Z26" s="269">
        <v>0</v>
      </c>
      <c r="AA26" s="268">
        <v>0</v>
      </c>
      <c r="AB26" s="269">
        <v>0</v>
      </c>
      <c r="AC26" s="270">
        <v>9001.1779999999999</v>
      </c>
      <c r="AD26" s="271">
        <v>2815000</v>
      </c>
      <c r="AE26" s="270">
        <v>5372.7650000000003</v>
      </c>
      <c r="AF26" s="271">
        <v>4210000</v>
      </c>
      <c r="AG26" s="270">
        <v>3419.2779999999998</v>
      </c>
      <c r="AH26" s="271">
        <v>206000</v>
      </c>
      <c r="AI26" s="272">
        <f t="shared" si="8"/>
        <v>9001.1779999999999</v>
      </c>
      <c r="AJ26" s="272">
        <f t="shared" si="0"/>
        <v>8792.0429999999997</v>
      </c>
      <c r="AK26" s="273">
        <f t="shared" si="5"/>
        <v>0</v>
      </c>
      <c r="AL26" s="274">
        <f t="shared" si="5"/>
        <v>0</v>
      </c>
      <c r="AM26" s="275">
        <f t="shared" si="1"/>
        <v>7231000</v>
      </c>
      <c r="AN26" s="276">
        <f t="shared" si="6"/>
        <v>90564105.460000008</v>
      </c>
      <c r="AO26" s="277">
        <f t="shared" si="2"/>
        <v>7231000</v>
      </c>
      <c r="AP26" s="331"/>
      <c r="AQ26" s="278">
        <f t="shared" si="7"/>
        <v>83333105.460000008</v>
      </c>
      <c r="AR26" s="331">
        <f>IFERROR((VLOOKUP(B26,'АПП Баз'!$B$8:$Y$72,24,FALSE)*1000),0)</f>
        <v>125431124.09</v>
      </c>
      <c r="AS26" s="334">
        <f t="shared" si="3"/>
        <v>-42098018.629999995</v>
      </c>
    </row>
    <row r="27" spans="1:45" x14ac:dyDescent="0.25">
      <c r="A27" s="261">
        <v>24</v>
      </c>
      <c r="B27" s="5">
        <v>390240</v>
      </c>
      <c r="C27" s="67" t="s">
        <v>34</v>
      </c>
      <c r="D27" s="286">
        <v>75119230.819999993</v>
      </c>
      <c r="E27" s="263">
        <v>22032443.039999999</v>
      </c>
      <c r="F27" s="264">
        <v>45950</v>
      </c>
      <c r="G27" s="262">
        <v>51512176.018121317</v>
      </c>
      <c r="H27" s="264">
        <v>48120</v>
      </c>
      <c r="I27" s="262">
        <v>14627167.131878674</v>
      </c>
      <c r="J27" s="264">
        <v>12909</v>
      </c>
      <c r="K27" s="262">
        <v>8979887.6699999999</v>
      </c>
      <c r="L27" s="265"/>
      <c r="M27" s="266"/>
      <c r="N27" s="264"/>
      <c r="O27" s="262"/>
      <c r="P27" s="267">
        <v>0</v>
      </c>
      <c r="Q27" s="265"/>
      <c r="R27" s="266"/>
      <c r="S27" s="264"/>
      <c r="T27" s="262"/>
      <c r="U27" s="268">
        <v>0</v>
      </c>
      <c r="V27" s="269">
        <v>0</v>
      </c>
      <c r="W27" s="268">
        <v>0</v>
      </c>
      <c r="X27" s="269">
        <v>0</v>
      </c>
      <c r="Y27" s="268">
        <v>0</v>
      </c>
      <c r="Z27" s="269">
        <v>0</v>
      </c>
      <c r="AA27" s="268">
        <v>0</v>
      </c>
      <c r="AB27" s="269">
        <v>0</v>
      </c>
      <c r="AC27" s="270">
        <v>6431.2400000000007</v>
      </c>
      <c r="AD27" s="271">
        <v>2395000</v>
      </c>
      <c r="AE27" s="270">
        <v>4571.1450000000004</v>
      </c>
      <c r="AF27" s="271">
        <v>2149000</v>
      </c>
      <c r="AG27" s="270">
        <v>1745.375</v>
      </c>
      <c r="AH27" s="271">
        <v>113000</v>
      </c>
      <c r="AI27" s="272">
        <f t="shared" si="8"/>
        <v>6431.2400000000007</v>
      </c>
      <c r="AJ27" s="272">
        <f t="shared" si="0"/>
        <v>6316.52</v>
      </c>
      <c r="AK27" s="273">
        <f t="shared" si="5"/>
        <v>0</v>
      </c>
      <c r="AL27" s="274">
        <f t="shared" si="5"/>
        <v>0</v>
      </c>
      <c r="AM27" s="275">
        <f t="shared" si="1"/>
        <v>4657000</v>
      </c>
      <c r="AN27" s="276">
        <f t="shared" si="6"/>
        <v>101808673.85999998</v>
      </c>
      <c r="AO27" s="277">
        <f t="shared" si="2"/>
        <v>4657000</v>
      </c>
      <c r="AP27" s="331"/>
      <c r="AQ27" s="278">
        <f t="shared" si="7"/>
        <v>97151673.859999985</v>
      </c>
      <c r="AR27" s="331">
        <f>IFERROR((VLOOKUP(B27,'АПП Баз'!$B$8:$Y$72,24,FALSE)*1000),0)</f>
        <v>170309833.50999999</v>
      </c>
      <c r="AS27" s="334">
        <f t="shared" si="3"/>
        <v>-73158159.650000006</v>
      </c>
    </row>
    <row r="28" spans="1:45" x14ac:dyDescent="0.25">
      <c r="A28" s="256">
        <v>25</v>
      </c>
      <c r="B28" s="5">
        <v>390290</v>
      </c>
      <c r="C28" s="67" t="s">
        <v>35</v>
      </c>
      <c r="D28" s="286">
        <v>23983370.59</v>
      </c>
      <c r="E28" s="263">
        <v>10100958.6</v>
      </c>
      <c r="F28" s="264">
        <v>12923</v>
      </c>
      <c r="G28" s="262">
        <v>16623553.467185732</v>
      </c>
      <c r="H28" s="264">
        <v>13534</v>
      </c>
      <c r="I28" s="262">
        <v>4720596.90281427</v>
      </c>
      <c r="J28" s="264">
        <v>3794</v>
      </c>
      <c r="K28" s="262">
        <v>2639220.2200000002</v>
      </c>
      <c r="L28" s="265"/>
      <c r="M28" s="266"/>
      <c r="N28" s="264"/>
      <c r="O28" s="262"/>
      <c r="P28" s="267">
        <v>0</v>
      </c>
      <c r="Q28" s="265"/>
      <c r="R28" s="266"/>
      <c r="S28" s="264"/>
      <c r="T28" s="262"/>
      <c r="U28" s="268">
        <v>0</v>
      </c>
      <c r="V28" s="269">
        <v>0</v>
      </c>
      <c r="W28" s="268">
        <v>0</v>
      </c>
      <c r="X28" s="269">
        <v>0</v>
      </c>
      <c r="Y28" s="268">
        <v>0</v>
      </c>
      <c r="Z28" s="269">
        <v>0</v>
      </c>
      <c r="AA28" s="268">
        <v>0</v>
      </c>
      <c r="AB28" s="269">
        <v>0</v>
      </c>
      <c r="AC28" s="270">
        <v>1942.9359999999999</v>
      </c>
      <c r="AD28" s="271">
        <v>775000</v>
      </c>
      <c r="AE28" s="270">
        <v>1479.181</v>
      </c>
      <c r="AF28" s="271">
        <v>521000</v>
      </c>
      <c r="AG28" s="270">
        <v>423.14600000000002</v>
      </c>
      <c r="AH28" s="271">
        <v>40000</v>
      </c>
      <c r="AI28" s="272">
        <f t="shared" si="8"/>
        <v>1942.9359999999999</v>
      </c>
      <c r="AJ28" s="272">
        <f t="shared" si="0"/>
        <v>1902.327</v>
      </c>
      <c r="AK28" s="273">
        <f t="shared" si="5"/>
        <v>0</v>
      </c>
      <c r="AL28" s="274">
        <f t="shared" si="5"/>
        <v>0</v>
      </c>
      <c r="AM28" s="275">
        <f t="shared" si="1"/>
        <v>1336000</v>
      </c>
      <c r="AN28" s="276">
        <f t="shared" si="6"/>
        <v>35420329.189999998</v>
      </c>
      <c r="AO28" s="277">
        <f t="shared" si="2"/>
        <v>1336000</v>
      </c>
      <c r="AP28" s="331"/>
      <c r="AQ28" s="278">
        <f t="shared" si="7"/>
        <v>34084329.189999998</v>
      </c>
      <c r="AR28" s="331">
        <f>IFERROR((VLOOKUP(B28,'АПП Баз'!$B$8:$Y$72,24,FALSE)*1000),0)</f>
        <v>48569154.640000008</v>
      </c>
      <c r="AS28" s="334">
        <f t="shared" si="3"/>
        <v>-14484825.45000001</v>
      </c>
    </row>
    <row r="29" spans="1:45" x14ac:dyDescent="0.25">
      <c r="A29" s="261">
        <v>26</v>
      </c>
      <c r="B29" s="5">
        <v>390380</v>
      </c>
      <c r="C29" s="67" t="s">
        <v>36</v>
      </c>
      <c r="D29" s="286">
        <v>13067494.450000003</v>
      </c>
      <c r="E29" s="263">
        <v>0</v>
      </c>
      <c r="F29" s="264">
        <v>8616</v>
      </c>
      <c r="G29" s="262">
        <v>8879819.9360831343</v>
      </c>
      <c r="H29" s="264">
        <v>9021</v>
      </c>
      <c r="I29" s="262">
        <v>2520945.0339168673</v>
      </c>
      <c r="J29" s="264">
        <v>2396</v>
      </c>
      <c r="K29" s="262">
        <v>1666729.48</v>
      </c>
      <c r="L29" s="265"/>
      <c r="M29" s="266"/>
      <c r="N29" s="264"/>
      <c r="O29" s="262"/>
      <c r="P29" s="267">
        <v>0</v>
      </c>
      <c r="Q29" s="265"/>
      <c r="R29" s="266"/>
      <c r="S29" s="264"/>
      <c r="T29" s="262"/>
      <c r="U29" s="268">
        <v>0</v>
      </c>
      <c r="V29" s="269">
        <v>0</v>
      </c>
      <c r="W29" s="268">
        <v>0</v>
      </c>
      <c r="X29" s="269">
        <v>0</v>
      </c>
      <c r="Y29" s="268">
        <v>0</v>
      </c>
      <c r="Z29" s="269">
        <v>0</v>
      </c>
      <c r="AA29" s="268">
        <v>0</v>
      </c>
      <c r="AB29" s="269">
        <v>0</v>
      </c>
      <c r="AC29" s="270">
        <v>773.88499999999999</v>
      </c>
      <c r="AD29" s="271">
        <v>301000</v>
      </c>
      <c r="AE29" s="270">
        <v>574.495</v>
      </c>
      <c r="AF29" s="271">
        <v>223000</v>
      </c>
      <c r="AG29" s="270">
        <v>181.11600000000001</v>
      </c>
      <c r="AH29" s="271">
        <v>18000</v>
      </c>
      <c r="AI29" s="272">
        <f t="shared" si="8"/>
        <v>773.88499999999999</v>
      </c>
      <c r="AJ29" s="272">
        <f t="shared" si="0"/>
        <v>755.61099999999999</v>
      </c>
      <c r="AK29" s="273">
        <f t="shared" si="5"/>
        <v>0</v>
      </c>
      <c r="AL29" s="274">
        <f t="shared" si="5"/>
        <v>0</v>
      </c>
      <c r="AM29" s="275">
        <f t="shared" si="1"/>
        <v>542000</v>
      </c>
      <c r="AN29" s="276">
        <f t="shared" si="6"/>
        <v>13609494.450000003</v>
      </c>
      <c r="AO29" s="277">
        <f t="shared" si="2"/>
        <v>542000</v>
      </c>
      <c r="AP29" s="331"/>
      <c r="AQ29" s="278">
        <f t="shared" si="7"/>
        <v>13067494.450000003</v>
      </c>
      <c r="AR29" s="331">
        <f>IFERROR((VLOOKUP(B29,'АПП Баз'!$B$8:$Y$72,24,FALSE)*1000),0)</f>
        <v>21101562.199999999</v>
      </c>
      <c r="AS29" s="334">
        <f t="shared" si="3"/>
        <v>-8034067.7499999963</v>
      </c>
    </row>
    <row r="30" spans="1:45" x14ac:dyDescent="0.25">
      <c r="A30" s="261">
        <v>27</v>
      </c>
      <c r="B30" s="5">
        <v>390370</v>
      </c>
      <c r="C30" s="67" t="s">
        <v>37</v>
      </c>
      <c r="D30" s="286">
        <v>23380070.77</v>
      </c>
      <c r="E30" s="263">
        <v>0</v>
      </c>
      <c r="F30" s="264">
        <v>14359</v>
      </c>
      <c r="G30" s="262">
        <v>16007612.753108241</v>
      </c>
      <c r="H30" s="264">
        <v>15037</v>
      </c>
      <c r="I30" s="262">
        <v>4545417.6968917577</v>
      </c>
      <c r="J30" s="264">
        <v>4064</v>
      </c>
      <c r="K30" s="262">
        <v>2827040.32</v>
      </c>
      <c r="L30" s="265"/>
      <c r="M30" s="266"/>
      <c r="N30" s="264"/>
      <c r="O30" s="262"/>
      <c r="P30" s="267">
        <v>0</v>
      </c>
      <c r="Q30" s="265"/>
      <c r="R30" s="266"/>
      <c r="S30" s="264"/>
      <c r="T30" s="262"/>
      <c r="U30" s="268">
        <v>0</v>
      </c>
      <c r="V30" s="269">
        <v>0</v>
      </c>
      <c r="W30" s="268">
        <v>0</v>
      </c>
      <c r="X30" s="269">
        <v>0</v>
      </c>
      <c r="Y30" s="268">
        <v>0</v>
      </c>
      <c r="Z30" s="269">
        <v>0</v>
      </c>
      <c r="AA30" s="268">
        <v>0</v>
      </c>
      <c r="AB30" s="269">
        <v>0</v>
      </c>
      <c r="AC30" s="270">
        <v>1867.3219999999999</v>
      </c>
      <c r="AD30" s="271">
        <v>619000</v>
      </c>
      <c r="AE30" s="270">
        <v>1181.4359999999999</v>
      </c>
      <c r="AF30" s="271">
        <v>767000</v>
      </c>
      <c r="AG30" s="270">
        <v>622.94200000000001</v>
      </c>
      <c r="AH30" s="271">
        <v>62000</v>
      </c>
      <c r="AI30" s="272">
        <f t="shared" si="8"/>
        <v>1867.3219999999999</v>
      </c>
      <c r="AJ30" s="272">
        <f t="shared" si="0"/>
        <v>1804.3779999999999</v>
      </c>
      <c r="AK30" s="273">
        <f t="shared" si="5"/>
        <v>0</v>
      </c>
      <c r="AL30" s="274">
        <f t="shared" si="5"/>
        <v>0</v>
      </c>
      <c r="AM30" s="275">
        <f t="shared" si="1"/>
        <v>1448000</v>
      </c>
      <c r="AN30" s="276">
        <f t="shared" si="6"/>
        <v>24828070.77</v>
      </c>
      <c r="AO30" s="277">
        <f t="shared" si="2"/>
        <v>1448000</v>
      </c>
      <c r="AP30" s="331"/>
      <c r="AQ30" s="278">
        <f t="shared" si="7"/>
        <v>23380070.77</v>
      </c>
      <c r="AR30" s="331">
        <f>IFERROR((VLOOKUP(B30,'АПП Баз'!$B$8:$Y$72,24,FALSE)*1000),0)</f>
        <v>46417226.019999996</v>
      </c>
      <c r="AS30" s="334">
        <f t="shared" si="3"/>
        <v>-23037155.249999996</v>
      </c>
    </row>
    <row r="31" spans="1:45" x14ac:dyDescent="0.25">
      <c r="A31" s="256">
        <v>28</v>
      </c>
      <c r="B31" s="5">
        <v>390480</v>
      </c>
      <c r="C31" s="67" t="s">
        <v>96</v>
      </c>
      <c r="D31" s="286">
        <v>83800549.840000004</v>
      </c>
      <c r="E31" s="263">
        <v>997582.08</v>
      </c>
      <c r="F31" s="264">
        <v>50258</v>
      </c>
      <c r="G31" s="262">
        <v>57437692.972626545</v>
      </c>
      <c r="H31" s="264">
        <v>52631</v>
      </c>
      <c r="I31" s="262">
        <v>16309612.107373452</v>
      </c>
      <c r="J31" s="264">
        <v>14452</v>
      </c>
      <c r="K31" s="262">
        <v>10053244.76</v>
      </c>
      <c r="L31" s="265"/>
      <c r="M31" s="266"/>
      <c r="N31" s="264"/>
      <c r="O31" s="262"/>
      <c r="P31" s="267">
        <v>0</v>
      </c>
      <c r="Q31" s="265"/>
      <c r="R31" s="266"/>
      <c r="S31" s="264"/>
      <c r="T31" s="262"/>
      <c r="U31" s="268">
        <v>0</v>
      </c>
      <c r="V31" s="269">
        <v>0</v>
      </c>
      <c r="W31" s="268">
        <v>0</v>
      </c>
      <c r="X31" s="269">
        <v>0</v>
      </c>
      <c r="Y31" s="268">
        <v>0</v>
      </c>
      <c r="Z31" s="269">
        <v>0</v>
      </c>
      <c r="AA31" s="268">
        <v>0</v>
      </c>
      <c r="AB31" s="269">
        <v>0</v>
      </c>
      <c r="AC31" s="270">
        <v>11668.213</v>
      </c>
      <c r="AD31" s="271">
        <v>3698000</v>
      </c>
      <c r="AE31" s="270">
        <v>7058.0770000000002</v>
      </c>
      <c r="AF31" s="271">
        <v>5405000</v>
      </c>
      <c r="AG31" s="270">
        <v>4389.8329999999996</v>
      </c>
      <c r="AH31" s="271">
        <v>217000</v>
      </c>
      <c r="AI31" s="272">
        <f t="shared" si="8"/>
        <v>11668.213</v>
      </c>
      <c r="AJ31" s="272">
        <f t="shared" si="0"/>
        <v>11447.91</v>
      </c>
      <c r="AK31" s="273">
        <f t="shared" si="5"/>
        <v>0</v>
      </c>
      <c r="AL31" s="274">
        <f t="shared" si="5"/>
        <v>0</v>
      </c>
      <c r="AM31" s="275">
        <f t="shared" si="1"/>
        <v>9320000</v>
      </c>
      <c r="AN31" s="276">
        <f t="shared" si="6"/>
        <v>94118131.920000002</v>
      </c>
      <c r="AO31" s="277">
        <f t="shared" si="2"/>
        <v>9320000</v>
      </c>
      <c r="AP31" s="331"/>
      <c r="AQ31" s="278">
        <f t="shared" si="7"/>
        <v>84798131.920000002</v>
      </c>
      <c r="AR31" s="331">
        <f>IFERROR((VLOOKUP(B31,'АПП Баз'!$B$8:$Y$72,24,FALSE)*1000),0)</f>
        <v>161577292.64999998</v>
      </c>
      <c r="AS31" s="334">
        <f t="shared" si="3"/>
        <v>-76779160.729999974</v>
      </c>
    </row>
    <row r="32" spans="1:45" x14ac:dyDescent="0.25">
      <c r="A32" s="261">
        <v>29</v>
      </c>
      <c r="B32" s="5">
        <v>390260</v>
      </c>
      <c r="C32" s="67" t="s">
        <v>38</v>
      </c>
      <c r="D32" s="286">
        <v>41323414.450000003</v>
      </c>
      <c r="E32" s="263">
        <v>11497725.24</v>
      </c>
      <c r="F32" s="264">
        <v>22975</v>
      </c>
      <c r="G32" s="262">
        <v>28688309.8838378</v>
      </c>
      <c r="H32" s="264">
        <v>24060</v>
      </c>
      <c r="I32" s="262">
        <v>8146204.1761622028</v>
      </c>
      <c r="J32" s="264">
        <v>6453</v>
      </c>
      <c r="K32" s="262">
        <v>4488900.3899999997</v>
      </c>
      <c r="L32" s="265"/>
      <c r="M32" s="266"/>
      <c r="N32" s="264"/>
      <c r="O32" s="262"/>
      <c r="P32" s="267">
        <v>0</v>
      </c>
      <c r="Q32" s="265"/>
      <c r="R32" s="266"/>
      <c r="S32" s="264"/>
      <c r="T32" s="262"/>
      <c r="U32" s="268">
        <v>0</v>
      </c>
      <c r="V32" s="269">
        <v>0</v>
      </c>
      <c r="W32" s="268">
        <v>0</v>
      </c>
      <c r="X32" s="269">
        <v>0</v>
      </c>
      <c r="Y32" s="268">
        <v>0</v>
      </c>
      <c r="Z32" s="269">
        <v>0</v>
      </c>
      <c r="AA32" s="268">
        <v>0</v>
      </c>
      <c r="AB32" s="269">
        <v>0</v>
      </c>
      <c r="AC32" s="270">
        <v>3951.7380000000003</v>
      </c>
      <c r="AD32" s="271">
        <v>1511000</v>
      </c>
      <c r="AE32" s="270">
        <v>2883.9250000000002</v>
      </c>
      <c r="AF32" s="271">
        <v>1171000</v>
      </c>
      <c r="AG32" s="270">
        <v>951.06299999999999</v>
      </c>
      <c r="AH32" s="271">
        <v>115000</v>
      </c>
      <c r="AI32" s="272">
        <f t="shared" si="8"/>
        <v>3951.7380000000003</v>
      </c>
      <c r="AJ32" s="272">
        <f t="shared" si="0"/>
        <v>3834.9880000000003</v>
      </c>
      <c r="AK32" s="273">
        <f t="shared" si="5"/>
        <v>0</v>
      </c>
      <c r="AL32" s="274">
        <f t="shared" si="5"/>
        <v>0</v>
      </c>
      <c r="AM32" s="275">
        <f t="shared" si="1"/>
        <v>2797000</v>
      </c>
      <c r="AN32" s="276">
        <f t="shared" si="6"/>
        <v>55618139.690000005</v>
      </c>
      <c r="AO32" s="277">
        <f t="shared" si="2"/>
        <v>2797000</v>
      </c>
      <c r="AP32" s="331"/>
      <c r="AQ32" s="278">
        <f t="shared" si="7"/>
        <v>52821139.690000005</v>
      </c>
      <c r="AR32" s="331">
        <f>IFERROR((VLOOKUP(B32,'АПП Баз'!$B$8:$Y$72,24,FALSE)*1000),0)</f>
        <v>80882226.920000002</v>
      </c>
      <c r="AS32" s="334">
        <f t="shared" si="3"/>
        <v>-28061087.229999997</v>
      </c>
    </row>
    <row r="33" spans="1:45" x14ac:dyDescent="0.25">
      <c r="A33" s="261">
        <v>30</v>
      </c>
      <c r="B33" s="5">
        <v>390250</v>
      </c>
      <c r="C33" s="67" t="s">
        <v>39</v>
      </c>
      <c r="D33" s="286">
        <v>29748158.460000001</v>
      </c>
      <c r="E33" s="263">
        <v>14565378.360000001</v>
      </c>
      <c r="F33" s="264">
        <v>17231</v>
      </c>
      <c r="G33" s="262">
        <v>20577176.695272088</v>
      </c>
      <c r="H33" s="264">
        <v>18045</v>
      </c>
      <c r="I33" s="262">
        <v>5843087.844727912</v>
      </c>
      <c r="J33" s="264">
        <v>4784</v>
      </c>
      <c r="K33" s="262">
        <v>3327893.92</v>
      </c>
      <c r="L33" s="265"/>
      <c r="M33" s="266"/>
      <c r="N33" s="264"/>
      <c r="O33" s="262"/>
      <c r="P33" s="267">
        <v>0</v>
      </c>
      <c r="Q33" s="265"/>
      <c r="R33" s="266"/>
      <c r="S33" s="264"/>
      <c r="T33" s="262"/>
      <c r="U33" s="268">
        <v>0</v>
      </c>
      <c r="V33" s="269">
        <v>0</v>
      </c>
      <c r="W33" s="268">
        <v>0</v>
      </c>
      <c r="X33" s="269">
        <v>0</v>
      </c>
      <c r="Y33" s="268">
        <v>0</v>
      </c>
      <c r="Z33" s="269">
        <v>0</v>
      </c>
      <c r="AA33" s="268">
        <v>0</v>
      </c>
      <c r="AB33" s="269">
        <v>0</v>
      </c>
      <c r="AC33" s="270">
        <v>1561.8210000000001</v>
      </c>
      <c r="AD33" s="271">
        <v>550000</v>
      </c>
      <c r="AE33" s="270">
        <v>1049.741</v>
      </c>
      <c r="AF33" s="271">
        <v>593000</v>
      </c>
      <c r="AG33" s="270">
        <v>481.62299999999999</v>
      </c>
      <c r="AH33" s="271">
        <v>30000</v>
      </c>
      <c r="AI33" s="272">
        <f t="shared" si="8"/>
        <v>1561.8210000000001</v>
      </c>
      <c r="AJ33" s="272">
        <f t="shared" si="0"/>
        <v>1531.364</v>
      </c>
      <c r="AK33" s="273">
        <f t="shared" si="5"/>
        <v>0</v>
      </c>
      <c r="AL33" s="274">
        <f t="shared" si="5"/>
        <v>0</v>
      </c>
      <c r="AM33" s="275">
        <f t="shared" si="1"/>
        <v>1173000</v>
      </c>
      <c r="AN33" s="276">
        <f t="shared" si="6"/>
        <v>45486536.82</v>
      </c>
      <c r="AO33" s="277">
        <f t="shared" si="2"/>
        <v>1173000</v>
      </c>
      <c r="AP33" s="331"/>
      <c r="AQ33" s="278">
        <f t="shared" si="7"/>
        <v>44313536.82</v>
      </c>
      <c r="AR33" s="331">
        <f>IFERROR((VLOOKUP(B33,'АПП Баз'!$B$8:$Y$72,24,FALSE)*1000),0)</f>
        <v>61312904.359999999</v>
      </c>
      <c r="AS33" s="334">
        <f t="shared" si="3"/>
        <v>-16999367.539999999</v>
      </c>
    </row>
    <row r="34" spans="1:45" x14ac:dyDescent="0.25">
      <c r="A34" s="256">
        <v>31</v>
      </c>
      <c r="B34" s="5">
        <v>390300</v>
      </c>
      <c r="C34" s="67" t="s">
        <v>40</v>
      </c>
      <c r="D34" s="286">
        <v>28149171.239999998</v>
      </c>
      <c r="E34" s="263">
        <v>14865029.52</v>
      </c>
      <c r="F34" s="264">
        <v>15795</v>
      </c>
      <c r="G34" s="262">
        <v>19519320.465878919</v>
      </c>
      <c r="H34" s="264">
        <v>16541</v>
      </c>
      <c r="I34" s="262">
        <v>5542644.8341210764</v>
      </c>
      <c r="J34" s="264">
        <v>4438</v>
      </c>
      <c r="K34" s="262">
        <v>3087205.94</v>
      </c>
      <c r="L34" s="265"/>
      <c r="M34" s="266"/>
      <c r="N34" s="264"/>
      <c r="O34" s="262"/>
      <c r="P34" s="267">
        <v>0</v>
      </c>
      <c r="Q34" s="265"/>
      <c r="R34" s="266"/>
      <c r="S34" s="264"/>
      <c r="T34" s="262"/>
      <c r="U34" s="268">
        <v>0</v>
      </c>
      <c r="V34" s="269">
        <v>0</v>
      </c>
      <c r="W34" s="268">
        <v>0</v>
      </c>
      <c r="X34" s="269">
        <v>0</v>
      </c>
      <c r="Y34" s="268">
        <v>0</v>
      </c>
      <c r="Z34" s="269">
        <v>0</v>
      </c>
      <c r="AA34" s="268">
        <v>0</v>
      </c>
      <c r="AB34" s="269">
        <v>0</v>
      </c>
      <c r="AC34" s="270">
        <v>2149.837</v>
      </c>
      <c r="AD34" s="271">
        <v>855000</v>
      </c>
      <c r="AE34" s="270">
        <v>1631.87</v>
      </c>
      <c r="AF34" s="271">
        <v>579000</v>
      </c>
      <c r="AG34" s="270">
        <v>470.25200000000001</v>
      </c>
      <c r="AH34" s="271">
        <v>47000</v>
      </c>
      <c r="AI34" s="272">
        <f t="shared" si="8"/>
        <v>2149.837</v>
      </c>
      <c r="AJ34" s="272">
        <f t="shared" si="0"/>
        <v>2102.1219999999998</v>
      </c>
      <c r="AK34" s="273">
        <f t="shared" si="5"/>
        <v>0</v>
      </c>
      <c r="AL34" s="274">
        <f t="shared" si="5"/>
        <v>0</v>
      </c>
      <c r="AM34" s="275">
        <f t="shared" si="1"/>
        <v>1481000</v>
      </c>
      <c r="AN34" s="276">
        <f t="shared" si="6"/>
        <v>44495200.759999998</v>
      </c>
      <c r="AO34" s="277">
        <f t="shared" si="2"/>
        <v>1481000</v>
      </c>
      <c r="AP34" s="331"/>
      <c r="AQ34" s="278">
        <f t="shared" si="7"/>
        <v>43014200.759999998</v>
      </c>
      <c r="AR34" s="331">
        <f>IFERROR((VLOOKUP(B34,'АПП Баз'!$B$8:$Y$72,24,FALSE)*1000),0)</f>
        <v>62535645.240000002</v>
      </c>
      <c r="AS34" s="334">
        <f t="shared" si="3"/>
        <v>-19521444.480000004</v>
      </c>
    </row>
    <row r="35" spans="1:45" x14ac:dyDescent="0.25">
      <c r="A35" s="261">
        <v>32</v>
      </c>
      <c r="B35" s="5">
        <v>390310</v>
      </c>
      <c r="C35" s="67" t="s">
        <v>117</v>
      </c>
      <c r="D35" s="286">
        <f>38187445.21-480471.15</f>
        <v>37706974.060000002</v>
      </c>
      <c r="E35" s="263">
        <v>11507648.880000001</v>
      </c>
      <c r="F35" s="264">
        <v>22975</v>
      </c>
      <c r="G35" s="262">
        <v>26251841.297390159</v>
      </c>
      <c r="H35" s="264">
        <v>24060</v>
      </c>
      <c r="I35" s="262">
        <v>7454355.4526098408</v>
      </c>
      <c r="J35" s="264">
        <v>6442</v>
      </c>
      <c r="K35" s="262">
        <v>4481248.46</v>
      </c>
      <c r="L35" s="265"/>
      <c r="M35" s="266"/>
      <c r="N35" s="264"/>
      <c r="O35" s="262"/>
      <c r="P35" s="267">
        <v>0</v>
      </c>
      <c r="Q35" s="265"/>
      <c r="R35" s="266"/>
      <c r="S35" s="264"/>
      <c r="T35" s="262"/>
      <c r="U35" s="268">
        <v>0</v>
      </c>
      <c r="V35" s="269">
        <v>0</v>
      </c>
      <c r="W35" s="268">
        <v>0</v>
      </c>
      <c r="X35" s="269">
        <v>0</v>
      </c>
      <c r="Y35" s="268">
        <v>0</v>
      </c>
      <c r="Z35" s="269">
        <v>0</v>
      </c>
      <c r="AA35" s="268">
        <v>0</v>
      </c>
      <c r="AB35" s="269">
        <v>0</v>
      </c>
      <c r="AC35" s="270">
        <v>4829.3380000000006</v>
      </c>
      <c r="AD35" s="271">
        <v>1919000</v>
      </c>
      <c r="AE35" s="270">
        <v>3662.6419999999998</v>
      </c>
      <c r="AF35" s="271">
        <v>1304000</v>
      </c>
      <c r="AG35" s="270">
        <v>1059.0830000000001</v>
      </c>
      <c r="AH35" s="271">
        <v>106000</v>
      </c>
      <c r="AI35" s="272">
        <f t="shared" si="8"/>
        <v>4829.3380000000006</v>
      </c>
      <c r="AJ35" s="272">
        <f t="shared" si="0"/>
        <v>4721.7250000000004</v>
      </c>
      <c r="AK35" s="273">
        <f t="shared" si="5"/>
        <v>0</v>
      </c>
      <c r="AL35" s="274">
        <f t="shared" si="5"/>
        <v>0</v>
      </c>
      <c r="AM35" s="275">
        <f>R35+M35+O35+P35+T35+V35+X35+Z35+AB35+AD35+AF35+AH35</f>
        <v>3329000</v>
      </c>
      <c r="AN35" s="276">
        <f>D35+E35+AM35</f>
        <v>52543622.940000005</v>
      </c>
      <c r="AO35" s="277">
        <f>AM35-P35</f>
        <v>3329000</v>
      </c>
      <c r="AP35" s="331"/>
      <c r="AQ35" s="278">
        <f>AN35-AH35-AF35-AD35</f>
        <v>49214622.940000005</v>
      </c>
      <c r="AR35" s="331">
        <f>IFERROR((VLOOKUP(B35,'АПП Баз'!$B$8:$Y$72,24,FALSE)*1000),0)</f>
        <v>80687865.690000013</v>
      </c>
      <c r="AS35" s="334">
        <f>AQ35-AR35</f>
        <v>-31473242.750000007</v>
      </c>
    </row>
    <row r="36" spans="1:45" x14ac:dyDescent="0.25">
      <c r="A36" s="261">
        <v>33</v>
      </c>
      <c r="B36" s="5">
        <v>390320</v>
      </c>
      <c r="C36" s="67" t="s">
        <v>102</v>
      </c>
      <c r="D36" s="286">
        <v>38115151.969999999</v>
      </c>
      <c r="E36" s="263">
        <v>16037100.359999999</v>
      </c>
      <c r="F36" s="264">
        <v>22975</v>
      </c>
      <c r="G36" s="262">
        <v>26193369.054098543</v>
      </c>
      <c r="H36" s="264">
        <v>24060</v>
      </c>
      <c r="I36" s="262">
        <v>7437751.9359014519</v>
      </c>
      <c r="J36" s="264">
        <v>6446</v>
      </c>
      <c r="K36" s="262">
        <v>4484030.9800000004</v>
      </c>
      <c r="L36" s="265"/>
      <c r="M36" s="266"/>
      <c r="N36" s="264"/>
      <c r="O36" s="262"/>
      <c r="P36" s="267">
        <v>0</v>
      </c>
      <c r="Q36" s="265"/>
      <c r="R36" s="266"/>
      <c r="S36" s="264"/>
      <c r="T36" s="262"/>
      <c r="U36" s="268">
        <v>0</v>
      </c>
      <c r="V36" s="269">
        <v>0</v>
      </c>
      <c r="W36" s="268">
        <v>0</v>
      </c>
      <c r="X36" s="269">
        <v>0</v>
      </c>
      <c r="Y36" s="268">
        <v>0</v>
      </c>
      <c r="Z36" s="269">
        <v>0</v>
      </c>
      <c r="AA36" s="268">
        <v>0</v>
      </c>
      <c r="AB36" s="269">
        <v>0</v>
      </c>
      <c r="AC36" s="270">
        <v>3872.511</v>
      </c>
      <c r="AD36" s="271">
        <v>1098000</v>
      </c>
      <c r="AE36" s="270">
        <v>2095.665</v>
      </c>
      <c r="AF36" s="271">
        <v>2049000</v>
      </c>
      <c r="AG36" s="270">
        <v>1664.1569999999999</v>
      </c>
      <c r="AH36" s="271">
        <v>111000</v>
      </c>
      <c r="AI36" s="272">
        <f t="shared" si="8"/>
        <v>3872.511</v>
      </c>
      <c r="AJ36" s="272">
        <f t="shared" si="0"/>
        <v>3759.8220000000001</v>
      </c>
      <c r="AK36" s="273">
        <f t="shared" si="5"/>
        <v>0</v>
      </c>
      <c r="AL36" s="274">
        <f t="shared" si="5"/>
        <v>0</v>
      </c>
      <c r="AM36" s="275">
        <f t="shared" si="1"/>
        <v>3258000</v>
      </c>
      <c r="AN36" s="276">
        <f t="shared" si="6"/>
        <v>57410252.329999998</v>
      </c>
      <c r="AO36" s="277">
        <f t="shared" si="2"/>
        <v>3258000</v>
      </c>
      <c r="AP36" s="331"/>
      <c r="AQ36" s="278">
        <f t="shared" si="7"/>
        <v>54152252.329999998</v>
      </c>
      <c r="AR36" s="331">
        <f>IFERROR((VLOOKUP(B36,'АПП Баз'!$B$8:$Y$72,24,FALSE)*1000),0)</f>
        <v>78493447.010000005</v>
      </c>
      <c r="AS36" s="334">
        <f t="shared" ref="AS36:AS88" si="9">AQ36-AR36</f>
        <v>-24341194.680000007</v>
      </c>
    </row>
    <row r="37" spans="1:45" x14ac:dyDescent="0.25">
      <c r="A37" s="256">
        <v>34</v>
      </c>
      <c r="B37" s="5">
        <v>390180</v>
      </c>
      <c r="C37" s="67" t="s">
        <v>43</v>
      </c>
      <c r="D37" s="286">
        <v>60639209.539999999</v>
      </c>
      <c r="E37" s="263">
        <v>2403416.4</v>
      </c>
      <c r="F37" s="264">
        <v>38770</v>
      </c>
      <c r="G37" s="262">
        <v>41261720.445956588</v>
      </c>
      <c r="H37" s="264">
        <v>40601</v>
      </c>
      <c r="I37" s="262">
        <v>11716515.904043412</v>
      </c>
      <c r="J37" s="264">
        <v>11013</v>
      </c>
      <c r="K37" s="262">
        <v>7660973.1900000004</v>
      </c>
      <c r="L37" s="265"/>
      <c r="M37" s="266"/>
      <c r="N37" s="264"/>
      <c r="O37" s="262"/>
      <c r="P37" s="267">
        <v>0</v>
      </c>
      <c r="Q37" s="265"/>
      <c r="R37" s="266"/>
      <c r="S37" s="264"/>
      <c r="T37" s="262"/>
      <c r="U37" s="268">
        <v>0</v>
      </c>
      <c r="V37" s="269">
        <v>0</v>
      </c>
      <c r="W37" s="268">
        <v>0</v>
      </c>
      <c r="X37" s="269">
        <v>0</v>
      </c>
      <c r="Y37" s="268">
        <v>0</v>
      </c>
      <c r="Z37" s="269">
        <v>0</v>
      </c>
      <c r="AA37" s="268">
        <v>0</v>
      </c>
      <c r="AB37" s="269">
        <v>0</v>
      </c>
      <c r="AC37" s="270">
        <v>12118.806</v>
      </c>
      <c r="AD37" s="271">
        <v>4726000</v>
      </c>
      <c r="AE37" s="270">
        <v>9020.1380000000008</v>
      </c>
      <c r="AF37" s="271">
        <v>3469000</v>
      </c>
      <c r="AG37" s="270">
        <v>2817.4520000000002</v>
      </c>
      <c r="AH37" s="271">
        <v>277000</v>
      </c>
      <c r="AI37" s="272">
        <f t="shared" si="8"/>
        <v>12118.806</v>
      </c>
      <c r="AJ37" s="272">
        <f t="shared" si="0"/>
        <v>11837.59</v>
      </c>
      <c r="AK37" s="273">
        <f t="shared" si="5"/>
        <v>0</v>
      </c>
      <c r="AL37" s="274">
        <f t="shared" si="5"/>
        <v>0</v>
      </c>
      <c r="AM37" s="275">
        <f t="shared" si="1"/>
        <v>8472000</v>
      </c>
      <c r="AN37" s="276">
        <f t="shared" si="6"/>
        <v>71514625.939999998</v>
      </c>
      <c r="AO37" s="277">
        <f t="shared" si="2"/>
        <v>8472000</v>
      </c>
      <c r="AP37" s="331"/>
      <c r="AQ37" s="278">
        <f t="shared" si="7"/>
        <v>63042625.939999998</v>
      </c>
      <c r="AR37" s="331">
        <f>IFERROR((VLOOKUP(B37,'АПП Баз'!$B$8:$Y$72,24,FALSE)*1000),0)</f>
        <v>115252136.54000001</v>
      </c>
      <c r="AS37" s="334">
        <f t="shared" si="9"/>
        <v>-52209510.600000009</v>
      </c>
    </row>
    <row r="38" spans="1:45" x14ac:dyDescent="0.25">
      <c r="A38" s="261">
        <v>35</v>
      </c>
      <c r="B38" s="5">
        <v>390270</v>
      </c>
      <c r="C38" s="67" t="s">
        <v>100</v>
      </c>
      <c r="D38" s="286">
        <v>38228083.93</v>
      </c>
      <c r="E38" s="263">
        <v>15864347.879999999</v>
      </c>
      <c r="F38" s="264">
        <v>21539</v>
      </c>
      <c r="G38" s="262">
        <v>26394606.51562684</v>
      </c>
      <c r="H38" s="264">
        <v>22556</v>
      </c>
      <c r="I38" s="262">
        <v>7494833.1043731561</v>
      </c>
      <c r="J38" s="264">
        <v>6237</v>
      </c>
      <c r="K38" s="262">
        <v>4338644.3099999996</v>
      </c>
      <c r="L38" s="265"/>
      <c r="M38" s="266"/>
      <c r="N38" s="264"/>
      <c r="O38" s="262"/>
      <c r="P38" s="267">
        <v>0</v>
      </c>
      <c r="Q38" s="265"/>
      <c r="R38" s="266"/>
      <c r="S38" s="264"/>
      <c r="T38" s="262"/>
      <c r="U38" s="268">
        <v>0</v>
      </c>
      <c r="V38" s="269">
        <v>0</v>
      </c>
      <c r="W38" s="268">
        <v>0</v>
      </c>
      <c r="X38" s="269">
        <v>0</v>
      </c>
      <c r="Y38" s="268">
        <v>0</v>
      </c>
      <c r="Z38" s="269">
        <v>0</v>
      </c>
      <c r="AA38" s="268">
        <v>0</v>
      </c>
      <c r="AB38" s="269">
        <v>0</v>
      </c>
      <c r="AC38" s="270">
        <v>4791.6120000000001</v>
      </c>
      <c r="AD38" s="271">
        <v>1797000</v>
      </c>
      <c r="AE38" s="270">
        <v>3429.79</v>
      </c>
      <c r="AF38" s="271">
        <v>1523000</v>
      </c>
      <c r="AG38" s="270">
        <v>1236.95</v>
      </c>
      <c r="AH38" s="271">
        <v>123000</v>
      </c>
      <c r="AI38" s="272">
        <f t="shared" si="8"/>
        <v>4791.6120000000001</v>
      </c>
      <c r="AJ38" s="272">
        <f t="shared" si="0"/>
        <v>4666.74</v>
      </c>
      <c r="AK38" s="273">
        <f t="shared" si="5"/>
        <v>0</v>
      </c>
      <c r="AL38" s="274">
        <f t="shared" si="5"/>
        <v>0</v>
      </c>
      <c r="AM38" s="275">
        <f t="shared" si="1"/>
        <v>3443000</v>
      </c>
      <c r="AN38" s="276">
        <f t="shared" si="6"/>
        <v>57535431.810000002</v>
      </c>
      <c r="AO38" s="277">
        <f t="shared" si="2"/>
        <v>3443000</v>
      </c>
      <c r="AP38" s="331"/>
      <c r="AQ38" s="278">
        <f t="shared" si="7"/>
        <v>54092431.810000002</v>
      </c>
      <c r="AR38" s="331">
        <f>IFERROR((VLOOKUP(B38,'АПП Баз'!$B$8:$Y$72,24,FALSE)*1000),0)</f>
        <v>83962179.510000005</v>
      </c>
      <c r="AS38" s="334">
        <f t="shared" si="9"/>
        <v>-29869747.700000003</v>
      </c>
    </row>
    <row r="39" spans="1:45" x14ac:dyDescent="0.25">
      <c r="A39" s="261">
        <v>36</v>
      </c>
      <c r="B39" s="5">
        <v>390190</v>
      </c>
      <c r="C39" s="67" t="s">
        <v>45</v>
      </c>
      <c r="D39" s="286">
        <v>80671241.039999992</v>
      </c>
      <c r="E39" s="263">
        <v>0</v>
      </c>
      <c r="F39" s="264">
        <v>47386</v>
      </c>
      <c r="G39" s="262">
        <v>55488154.10701783</v>
      </c>
      <c r="H39" s="264">
        <v>49623</v>
      </c>
      <c r="I39" s="262">
        <v>15755909.172982156</v>
      </c>
      <c r="J39" s="264">
        <v>13552</v>
      </c>
      <c r="K39" s="262">
        <v>9427177.7599999998</v>
      </c>
      <c r="L39" s="265"/>
      <c r="M39" s="266"/>
      <c r="N39" s="264"/>
      <c r="O39" s="262"/>
      <c r="P39" s="267">
        <v>0</v>
      </c>
      <c r="Q39" s="265"/>
      <c r="R39" s="266"/>
      <c r="S39" s="264"/>
      <c r="T39" s="262"/>
      <c r="U39" s="268">
        <v>0</v>
      </c>
      <c r="V39" s="269">
        <v>0</v>
      </c>
      <c r="W39" s="268">
        <v>0</v>
      </c>
      <c r="X39" s="269">
        <v>0</v>
      </c>
      <c r="Y39" s="268">
        <v>0</v>
      </c>
      <c r="Z39" s="269">
        <v>0</v>
      </c>
      <c r="AA39" s="268">
        <v>0</v>
      </c>
      <c r="AB39" s="269">
        <v>0</v>
      </c>
      <c r="AC39" s="270">
        <v>0</v>
      </c>
      <c r="AD39" s="271">
        <v>0</v>
      </c>
      <c r="AE39" s="270">
        <v>0</v>
      </c>
      <c r="AF39" s="271">
        <v>0</v>
      </c>
      <c r="AG39" s="270">
        <v>0</v>
      </c>
      <c r="AH39" s="271">
        <v>0</v>
      </c>
      <c r="AI39" s="272">
        <f t="shared" si="8"/>
        <v>0</v>
      </c>
      <c r="AJ39" s="272">
        <f t="shared" si="0"/>
        <v>0</v>
      </c>
      <c r="AK39" s="273">
        <f t="shared" si="5"/>
        <v>0</v>
      </c>
      <c r="AL39" s="274">
        <f t="shared" si="5"/>
        <v>0</v>
      </c>
      <c r="AM39" s="275">
        <f t="shared" si="1"/>
        <v>0</v>
      </c>
      <c r="AN39" s="276">
        <f t="shared" si="6"/>
        <v>80671241.039999992</v>
      </c>
      <c r="AO39" s="277">
        <f t="shared" si="2"/>
        <v>0</v>
      </c>
      <c r="AP39" s="331"/>
      <c r="AQ39" s="278">
        <f t="shared" si="7"/>
        <v>80671241.039999992</v>
      </c>
      <c r="AR39" s="331">
        <f>IFERROR((VLOOKUP(B39,'АПП Баз'!$B$8:$Y$72,24,FALSE)*1000),0)</f>
        <v>160439252.00999999</v>
      </c>
      <c r="AS39" s="334">
        <f t="shared" si="9"/>
        <v>-79768010.969999999</v>
      </c>
    </row>
    <row r="40" spans="1:45" x14ac:dyDescent="0.25">
      <c r="A40" s="256">
        <v>37</v>
      </c>
      <c r="B40" s="5">
        <v>390280</v>
      </c>
      <c r="C40" s="67" t="s">
        <v>101</v>
      </c>
      <c r="D40" s="286">
        <v>96522950.379999995</v>
      </c>
      <c r="E40" s="263">
        <v>13419768.120000001</v>
      </c>
      <c r="F40" s="264">
        <v>56001</v>
      </c>
      <c r="G40" s="262">
        <v>66463142.808200568</v>
      </c>
      <c r="H40" s="264">
        <v>58646</v>
      </c>
      <c r="I40" s="262">
        <v>18872685.911799435</v>
      </c>
      <c r="J40" s="264">
        <v>16082</v>
      </c>
      <c r="K40" s="262">
        <v>11187121.66</v>
      </c>
      <c r="L40" s="265"/>
      <c r="M40" s="266"/>
      <c r="N40" s="264"/>
      <c r="O40" s="262"/>
      <c r="P40" s="267">
        <v>0</v>
      </c>
      <c r="Q40" s="265"/>
      <c r="R40" s="266"/>
      <c r="S40" s="264"/>
      <c r="T40" s="262"/>
      <c r="U40" s="268">
        <v>0</v>
      </c>
      <c r="V40" s="269">
        <v>0</v>
      </c>
      <c r="W40" s="268">
        <v>0</v>
      </c>
      <c r="X40" s="269">
        <v>0</v>
      </c>
      <c r="Y40" s="268">
        <v>0</v>
      </c>
      <c r="Z40" s="269">
        <v>0</v>
      </c>
      <c r="AA40" s="268">
        <v>0</v>
      </c>
      <c r="AB40" s="269">
        <v>0</v>
      </c>
      <c r="AC40" s="270">
        <v>0</v>
      </c>
      <c r="AD40" s="271">
        <v>0</v>
      </c>
      <c r="AE40" s="270">
        <v>0</v>
      </c>
      <c r="AF40" s="271">
        <v>0</v>
      </c>
      <c r="AG40" s="270">
        <v>0</v>
      </c>
      <c r="AH40" s="271">
        <v>0</v>
      </c>
      <c r="AI40" s="272">
        <f t="shared" si="8"/>
        <v>0</v>
      </c>
      <c r="AJ40" s="272">
        <f t="shared" si="0"/>
        <v>0</v>
      </c>
      <c r="AK40" s="273">
        <f t="shared" si="5"/>
        <v>0</v>
      </c>
      <c r="AL40" s="274">
        <f t="shared" si="5"/>
        <v>0</v>
      </c>
      <c r="AM40" s="275">
        <f t="shared" si="1"/>
        <v>0</v>
      </c>
      <c r="AN40" s="276">
        <f t="shared" si="6"/>
        <v>109942718.5</v>
      </c>
      <c r="AO40" s="277">
        <f t="shared" si="2"/>
        <v>0</v>
      </c>
      <c r="AP40" s="331"/>
      <c r="AQ40" s="278">
        <f t="shared" si="7"/>
        <v>109942718.5</v>
      </c>
      <c r="AR40" s="331">
        <f>IFERROR((VLOOKUP(B40,'АПП Баз'!$B$8:$Y$72,24,FALSE)*1000),0)</f>
        <v>185806465.69</v>
      </c>
      <c r="AS40" s="334">
        <f t="shared" si="9"/>
        <v>-75863747.189999998</v>
      </c>
    </row>
    <row r="41" spans="1:45" x14ac:dyDescent="0.25">
      <c r="A41" s="261">
        <v>38</v>
      </c>
      <c r="B41" s="5">
        <v>390600</v>
      </c>
      <c r="C41" s="67" t="s">
        <v>118</v>
      </c>
      <c r="D41" s="286">
        <v>29362872.490000002</v>
      </c>
      <c r="E41" s="263">
        <v>0</v>
      </c>
      <c r="F41" s="264">
        <v>18667</v>
      </c>
      <c r="G41" s="262">
        <v>19955243.318448845</v>
      </c>
      <c r="H41" s="264">
        <v>19549</v>
      </c>
      <c r="I41" s="262">
        <v>5666531.0315511553</v>
      </c>
      <c r="J41" s="264">
        <v>5378</v>
      </c>
      <c r="K41" s="262">
        <v>3741098.14</v>
      </c>
      <c r="L41" s="265"/>
      <c r="M41" s="266"/>
      <c r="N41" s="264"/>
      <c r="O41" s="262"/>
      <c r="P41" s="267">
        <v>100000</v>
      </c>
      <c r="Q41" s="265"/>
      <c r="R41" s="266"/>
      <c r="S41" s="264"/>
      <c r="T41" s="262"/>
      <c r="U41" s="268">
        <v>0</v>
      </c>
      <c r="V41" s="269">
        <v>0</v>
      </c>
      <c r="W41" s="268">
        <v>0</v>
      </c>
      <c r="X41" s="269">
        <v>0</v>
      </c>
      <c r="Y41" s="268">
        <v>0</v>
      </c>
      <c r="Z41" s="269">
        <v>0</v>
      </c>
      <c r="AA41" s="268">
        <v>0</v>
      </c>
      <c r="AB41" s="269">
        <v>0</v>
      </c>
      <c r="AC41" s="270">
        <v>1062.3710000000001</v>
      </c>
      <c r="AD41" s="271">
        <v>423000</v>
      </c>
      <c r="AE41" s="270">
        <v>807.346</v>
      </c>
      <c r="AF41" s="271">
        <v>304000</v>
      </c>
      <c r="AG41" s="270">
        <v>246.90299999999999</v>
      </c>
      <c r="AH41" s="271">
        <v>8000</v>
      </c>
      <c r="AI41" s="272">
        <f t="shared" si="8"/>
        <v>1062.3710000000001</v>
      </c>
      <c r="AJ41" s="272">
        <f t="shared" si="0"/>
        <v>1054.249</v>
      </c>
      <c r="AK41" s="273">
        <f t="shared" si="5"/>
        <v>0</v>
      </c>
      <c r="AL41" s="274">
        <f t="shared" si="5"/>
        <v>0</v>
      </c>
      <c r="AM41" s="275">
        <f t="shared" si="1"/>
        <v>835000</v>
      </c>
      <c r="AN41" s="276">
        <f t="shared" si="6"/>
        <v>30197872.490000002</v>
      </c>
      <c r="AO41" s="277">
        <f t="shared" si="2"/>
        <v>735000</v>
      </c>
      <c r="AP41" s="331"/>
      <c r="AQ41" s="278">
        <f t="shared" si="7"/>
        <v>29462872.490000002</v>
      </c>
      <c r="AR41" s="331">
        <f>IFERROR((VLOOKUP(B41,'АПП Баз'!$B$8:$Y$72,24,FALSE)*1000),0)</f>
        <v>28162435.48</v>
      </c>
      <c r="AS41" s="334">
        <f t="shared" si="9"/>
        <v>1300437.0100000016</v>
      </c>
    </row>
    <row r="42" spans="1:45" x14ac:dyDescent="0.25">
      <c r="A42" s="261">
        <v>39</v>
      </c>
      <c r="B42" s="5">
        <v>390340</v>
      </c>
      <c r="C42" s="67" t="s">
        <v>119</v>
      </c>
      <c r="D42" s="286">
        <v>22744099.59</v>
      </c>
      <c r="E42" s="263">
        <v>0</v>
      </c>
      <c r="F42" s="264">
        <v>17231</v>
      </c>
      <c r="G42" s="262">
        <v>14974765.246459603</v>
      </c>
      <c r="H42" s="264">
        <v>18045</v>
      </c>
      <c r="I42" s="262">
        <v>4252229.0635403953</v>
      </c>
      <c r="J42" s="264">
        <v>5056</v>
      </c>
      <c r="K42" s="262">
        <v>3517105.28</v>
      </c>
      <c r="L42" s="265"/>
      <c r="M42" s="266"/>
      <c r="N42" s="264"/>
      <c r="O42" s="262"/>
      <c r="P42" s="267">
        <v>0</v>
      </c>
      <c r="Q42" s="265"/>
      <c r="R42" s="266"/>
      <c r="S42" s="264"/>
      <c r="T42" s="262"/>
      <c r="U42" s="268">
        <v>0</v>
      </c>
      <c r="V42" s="269">
        <v>0</v>
      </c>
      <c r="W42" s="268">
        <v>0</v>
      </c>
      <c r="X42" s="269">
        <v>0</v>
      </c>
      <c r="Y42" s="268">
        <v>0</v>
      </c>
      <c r="Z42" s="269">
        <v>0</v>
      </c>
      <c r="AA42" s="268">
        <v>0</v>
      </c>
      <c r="AB42" s="269">
        <v>0</v>
      </c>
      <c r="AC42" s="270">
        <v>3189.3049999999998</v>
      </c>
      <c r="AD42" s="271">
        <v>1266000</v>
      </c>
      <c r="AE42" s="270">
        <v>2416.3130000000001</v>
      </c>
      <c r="AF42" s="271">
        <v>868000</v>
      </c>
      <c r="AG42" s="270">
        <v>704.97199999999998</v>
      </c>
      <c r="AH42" s="271">
        <v>67000</v>
      </c>
      <c r="AI42" s="272">
        <f t="shared" si="8"/>
        <v>3189.3049999999998</v>
      </c>
      <c r="AJ42" s="272">
        <f t="shared" si="0"/>
        <v>3121.2849999999999</v>
      </c>
      <c r="AK42" s="273">
        <f t="shared" si="5"/>
        <v>0</v>
      </c>
      <c r="AL42" s="274">
        <f t="shared" si="5"/>
        <v>0</v>
      </c>
      <c r="AM42" s="275">
        <f t="shared" si="1"/>
        <v>2201000</v>
      </c>
      <c r="AN42" s="276">
        <f t="shared" si="6"/>
        <v>24945099.59</v>
      </c>
      <c r="AO42" s="277">
        <f t="shared" si="2"/>
        <v>2201000</v>
      </c>
      <c r="AP42" s="331"/>
      <c r="AQ42" s="278">
        <f t="shared" si="7"/>
        <v>22744099.59</v>
      </c>
      <c r="AR42" s="331">
        <f>IFERROR((VLOOKUP(B42,'АПП Баз'!$B$8:$Y$72,24,FALSE)*1000),0)</f>
        <v>61791300.680000007</v>
      </c>
      <c r="AS42" s="334">
        <f t="shared" si="9"/>
        <v>-39047201.090000004</v>
      </c>
    </row>
    <row r="43" spans="1:45" ht="15" customHeight="1" x14ac:dyDescent="0.25">
      <c r="A43" s="261">
        <v>40</v>
      </c>
      <c r="B43" s="5">
        <v>391000</v>
      </c>
      <c r="C43" s="6" t="s">
        <v>182</v>
      </c>
      <c r="D43" s="262"/>
      <c r="E43" s="263"/>
      <c r="F43" s="264"/>
      <c r="G43" s="262"/>
      <c r="H43" s="264"/>
      <c r="I43" s="262"/>
      <c r="J43" s="264"/>
      <c r="K43" s="262"/>
      <c r="L43" s="265">
        <v>0</v>
      </c>
      <c r="M43" s="266">
        <v>0</v>
      </c>
      <c r="N43" s="264"/>
      <c r="O43" s="262"/>
      <c r="P43" s="267">
        <v>0</v>
      </c>
      <c r="Q43" s="265">
        <v>0</v>
      </c>
      <c r="R43" s="266">
        <v>0</v>
      </c>
      <c r="S43" s="264"/>
      <c r="T43" s="262"/>
      <c r="U43" s="268">
        <v>0</v>
      </c>
      <c r="V43" s="269">
        <v>0</v>
      </c>
      <c r="W43" s="268">
        <v>0</v>
      </c>
      <c r="X43" s="269">
        <v>0</v>
      </c>
      <c r="Y43" s="268">
        <v>0</v>
      </c>
      <c r="Z43" s="269">
        <v>0</v>
      </c>
      <c r="AA43" s="268">
        <v>0</v>
      </c>
      <c r="AB43" s="269">
        <v>0</v>
      </c>
      <c r="AC43" s="270">
        <v>124618.829</v>
      </c>
      <c r="AD43" s="271">
        <v>49004000</v>
      </c>
      <c r="AE43" s="270">
        <v>93530.013999999996</v>
      </c>
      <c r="AF43" s="271">
        <v>34682000</v>
      </c>
      <c r="AG43" s="270">
        <v>28168.026999999998</v>
      </c>
      <c r="AH43" s="271">
        <v>2877000</v>
      </c>
      <c r="AI43" s="272">
        <f t="shared" si="8"/>
        <v>124618.829</v>
      </c>
      <c r="AJ43" s="272">
        <f t="shared" si="0"/>
        <v>121698.041</v>
      </c>
      <c r="AK43" s="273">
        <f t="shared" si="5"/>
        <v>0</v>
      </c>
      <c r="AL43" s="274">
        <f t="shared" si="5"/>
        <v>0</v>
      </c>
      <c r="AM43" s="275">
        <f t="shared" si="1"/>
        <v>86563000</v>
      </c>
      <c r="AN43" s="276">
        <f t="shared" si="6"/>
        <v>86563000</v>
      </c>
      <c r="AO43" s="277">
        <f t="shared" si="2"/>
        <v>86563000</v>
      </c>
      <c r="AP43" s="331"/>
      <c r="AQ43" s="278">
        <f t="shared" si="7"/>
        <v>0</v>
      </c>
      <c r="AR43" s="331">
        <f>IFERROR((VLOOKUP(B43,'АПП Баз'!$B$8:$Y$72,24,FALSE)*1000),0)</f>
        <v>214474.72</v>
      </c>
      <c r="AS43" s="334">
        <f t="shared" si="9"/>
        <v>-214474.72</v>
      </c>
    </row>
    <row r="44" spans="1:45" ht="15" customHeight="1" x14ac:dyDescent="0.25">
      <c r="A44" s="261">
        <v>41</v>
      </c>
      <c r="B44" s="5">
        <v>390910</v>
      </c>
      <c r="C44" s="6" t="s">
        <v>145</v>
      </c>
      <c r="D44" s="262"/>
      <c r="E44" s="263"/>
      <c r="F44" s="264"/>
      <c r="G44" s="262"/>
      <c r="H44" s="264"/>
      <c r="I44" s="262"/>
      <c r="J44" s="264"/>
      <c r="K44" s="262"/>
      <c r="L44" s="265">
        <v>0</v>
      </c>
      <c r="M44" s="266">
        <v>0</v>
      </c>
      <c r="N44" s="264"/>
      <c r="O44" s="262"/>
      <c r="P44" s="267">
        <v>0</v>
      </c>
      <c r="Q44" s="265">
        <v>0</v>
      </c>
      <c r="R44" s="266">
        <v>0</v>
      </c>
      <c r="S44" s="264"/>
      <c r="T44" s="262"/>
      <c r="U44" s="268">
        <v>0</v>
      </c>
      <c r="V44" s="269">
        <v>0</v>
      </c>
      <c r="W44" s="268">
        <v>0</v>
      </c>
      <c r="X44" s="269">
        <v>0</v>
      </c>
      <c r="Y44" s="268">
        <v>0</v>
      </c>
      <c r="Z44" s="269">
        <v>0</v>
      </c>
      <c r="AA44" s="268">
        <v>0</v>
      </c>
      <c r="AB44" s="269">
        <v>0</v>
      </c>
      <c r="AC44" s="270">
        <v>155054.59100000001</v>
      </c>
      <c r="AD44" s="271">
        <v>61146000</v>
      </c>
      <c r="AE44" s="270">
        <v>116704.47900000001</v>
      </c>
      <c r="AF44" s="271">
        <v>43875000</v>
      </c>
      <c r="AG44" s="270">
        <v>35634.398000000001</v>
      </c>
      <c r="AH44" s="271">
        <v>2675000</v>
      </c>
      <c r="AI44" s="272">
        <f t="shared" si="8"/>
        <v>155054.59100000001</v>
      </c>
      <c r="AJ44" s="272">
        <f t="shared" si="0"/>
        <v>152338.87700000001</v>
      </c>
      <c r="AK44" s="273">
        <f t="shared" si="5"/>
        <v>0</v>
      </c>
      <c r="AL44" s="274">
        <f t="shared" si="5"/>
        <v>0</v>
      </c>
      <c r="AM44" s="275">
        <f t="shared" si="1"/>
        <v>107696000</v>
      </c>
      <c r="AN44" s="276">
        <f t="shared" si="6"/>
        <v>107696000</v>
      </c>
      <c r="AO44" s="277">
        <f t="shared" si="2"/>
        <v>107696000</v>
      </c>
      <c r="AP44" s="331"/>
      <c r="AQ44" s="278">
        <f t="shared" si="7"/>
        <v>0</v>
      </c>
      <c r="AR44" s="331">
        <f>IFERROR((VLOOKUP(B44,'АПП Баз'!$B$8:$Y$72,24,FALSE)*1000),0)</f>
        <v>0</v>
      </c>
      <c r="AS44" s="334">
        <f t="shared" si="9"/>
        <v>0</v>
      </c>
    </row>
    <row r="45" spans="1:45" ht="15" customHeight="1" x14ac:dyDescent="0.25">
      <c r="A45" s="261">
        <v>42</v>
      </c>
      <c r="B45" s="5">
        <v>391020</v>
      </c>
      <c r="C45" s="6" t="s">
        <v>144</v>
      </c>
      <c r="D45" s="262"/>
      <c r="E45" s="263"/>
      <c r="F45" s="264"/>
      <c r="G45" s="262"/>
      <c r="H45" s="264"/>
      <c r="I45" s="262"/>
      <c r="J45" s="264"/>
      <c r="K45" s="262"/>
      <c r="L45" s="265">
        <v>0</v>
      </c>
      <c r="M45" s="266">
        <v>0</v>
      </c>
      <c r="N45" s="264"/>
      <c r="O45" s="262"/>
      <c r="P45" s="267">
        <v>0</v>
      </c>
      <c r="Q45" s="265">
        <v>0</v>
      </c>
      <c r="R45" s="266">
        <v>0</v>
      </c>
      <c r="S45" s="264"/>
      <c r="T45" s="262"/>
      <c r="U45" s="268">
        <v>0</v>
      </c>
      <c r="V45" s="269">
        <v>0</v>
      </c>
      <c r="W45" s="268">
        <v>0</v>
      </c>
      <c r="X45" s="269">
        <v>0</v>
      </c>
      <c r="Y45" s="268">
        <v>0</v>
      </c>
      <c r="Z45" s="269">
        <v>0</v>
      </c>
      <c r="AA45" s="268">
        <v>0</v>
      </c>
      <c r="AB45" s="269">
        <v>0</v>
      </c>
      <c r="AC45" s="270">
        <v>103399.519</v>
      </c>
      <c r="AD45" s="271">
        <v>40365000</v>
      </c>
      <c r="AE45" s="270">
        <v>77041.445999999996</v>
      </c>
      <c r="AF45" s="271">
        <v>29836000</v>
      </c>
      <c r="AG45" s="270">
        <v>24232.202000000001</v>
      </c>
      <c r="AH45" s="271">
        <v>2094000</v>
      </c>
      <c r="AI45" s="272">
        <f t="shared" si="8"/>
        <v>103399.519</v>
      </c>
      <c r="AJ45" s="272">
        <f t="shared" si="0"/>
        <v>101273.648</v>
      </c>
      <c r="AK45" s="273">
        <f t="shared" si="5"/>
        <v>0</v>
      </c>
      <c r="AL45" s="274">
        <f t="shared" si="5"/>
        <v>0</v>
      </c>
      <c r="AM45" s="275">
        <f t="shared" si="1"/>
        <v>72295000</v>
      </c>
      <c r="AN45" s="276">
        <f t="shared" si="6"/>
        <v>72295000</v>
      </c>
      <c r="AO45" s="277">
        <f t="shared" si="2"/>
        <v>72295000</v>
      </c>
      <c r="AP45" s="331"/>
      <c r="AQ45" s="278">
        <f t="shared" si="7"/>
        <v>0</v>
      </c>
      <c r="AR45" s="331">
        <f>IFERROR((VLOOKUP(B45,'АПП Баз'!$B$8:$Y$72,24,FALSE)*1000),0)</f>
        <v>0</v>
      </c>
      <c r="AS45" s="334">
        <f t="shared" si="9"/>
        <v>0</v>
      </c>
    </row>
    <row r="46" spans="1:45" ht="15" customHeight="1" x14ac:dyDescent="0.25">
      <c r="A46" s="261">
        <v>43</v>
      </c>
      <c r="B46" s="5">
        <v>391110</v>
      </c>
      <c r="C46" s="6" t="s">
        <v>143</v>
      </c>
      <c r="D46" s="262"/>
      <c r="E46" s="263"/>
      <c r="F46" s="264"/>
      <c r="G46" s="262"/>
      <c r="H46" s="264"/>
      <c r="I46" s="262"/>
      <c r="J46" s="264"/>
      <c r="K46" s="262"/>
      <c r="L46" s="265">
        <v>0</v>
      </c>
      <c r="M46" s="266">
        <v>0</v>
      </c>
      <c r="N46" s="264"/>
      <c r="O46" s="262"/>
      <c r="P46" s="267">
        <v>0</v>
      </c>
      <c r="Q46" s="265">
        <v>0</v>
      </c>
      <c r="R46" s="266">
        <v>0</v>
      </c>
      <c r="S46" s="264"/>
      <c r="T46" s="262"/>
      <c r="U46" s="268">
        <v>0</v>
      </c>
      <c r="V46" s="269">
        <v>0</v>
      </c>
      <c r="W46" s="268">
        <v>0</v>
      </c>
      <c r="X46" s="269">
        <v>0</v>
      </c>
      <c r="Y46" s="268">
        <v>0</v>
      </c>
      <c r="Z46" s="269">
        <v>0</v>
      </c>
      <c r="AA46" s="268">
        <v>0</v>
      </c>
      <c r="AB46" s="269">
        <v>0</v>
      </c>
      <c r="AC46" s="270">
        <v>42256.817000000003</v>
      </c>
      <c r="AD46" s="271">
        <v>16762000</v>
      </c>
      <c r="AE46" s="270">
        <v>31992.288</v>
      </c>
      <c r="AF46" s="271">
        <v>11477000</v>
      </c>
      <c r="AG46" s="270">
        <v>9321.39</v>
      </c>
      <c r="AH46" s="271">
        <v>929000</v>
      </c>
      <c r="AI46" s="272">
        <f t="shared" si="8"/>
        <v>42256.817000000003</v>
      </c>
      <c r="AJ46" s="272">
        <f t="shared" si="0"/>
        <v>41313.678</v>
      </c>
      <c r="AK46" s="273">
        <f t="shared" si="5"/>
        <v>0</v>
      </c>
      <c r="AL46" s="274">
        <f t="shared" si="5"/>
        <v>0</v>
      </c>
      <c r="AM46" s="275">
        <f t="shared" si="1"/>
        <v>29168000</v>
      </c>
      <c r="AN46" s="276">
        <f t="shared" si="6"/>
        <v>29168000</v>
      </c>
      <c r="AO46" s="277">
        <f t="shared" si="2"/>
        <v>29168000</v>
      </c>
      <c r="AP46" s="331"/>
      <c r="AQ46" s="278">
        <f t="shared" si="7"/>
        <v>0</v>
      </c>
      <c r="AR46" s="331">
        <f>IFERROR((VLOOKUP(B46,'АПП Баз'!$B$8:$Y$72,24,FALSE)*1000),0)</f>
        <v>0</v>
      </c>
      <c r="AS46" s="334">
        <f t="shared" si="9"/>
        <v>0</v>
      </c>
    </row>
    <row r="47" spans="1:45" ht="15" customHeight="1" x14ac:dyDescent="0.25">
      <c r="A47" s="261">
        <v>44</v>
      </c>
      <c r="B47" s="5">
        <v>390286</v>
      </c>
      <c r="C47" s="6" t="s">
        <v>142</v>
      </c>
      <c r="D47" s="262"/>
      <c r="E47" s="263"/>
      <c r="F47" s="264"/>
      <c r="G47" s="262"/>
      <c r="H47" s="264"/>
      <c r="I47" s="262"/>
      <c r="J47" s="264"/>
      <c r="K47" s="262"/>
      <c r="L47" s="265">
        <v>0</v>
      </c>
      <c r="M47" s="266">
        <v>0</v>
      </c>
      <c r="N47" s="264"/>
      <c r="O47" s="262"/>
      <c r="P47" s="267">
        <v>0</v>
      </c>
      <c r="Q47" s="265">
        <v>0</v>
      </c>
      <c r="R47" s="266">
        <v>0</v>
      </c>
      <c r="S47" s="264"/>
      <c r="T47" s="262"/>
      <c r="U47" s="268">
        <v>0</v>
      </c>
      <c r="V47" s="269">
        <v>0</v>
      </c>
      <c r="W47" s="268">
        <v>0</v>
      </c>
      <c r="X47" s="269">
        <v>0</v>
      </c>
      <c r="Y47" s="268">
        <v>0</v>
      </c>
      <c r="Z47" s="269">
        <v>0</v>
      </c>
      <c r="AA47" s="268">
        <v>0</v>
      </c>
      <c r="AB47" s="269">
        <v>0</v>
      </c>
      <c r="AC47" s="270">
        <v>35217.055</v>
      </c>
      <c r="AD47" s="271">
        <v>13612000</v>
      </c>
      <c r="AE47" s="270">
        <v>25980.134999999998</v>
      </c>
      <c r="AF47" s="271">
        <v>10438000</v>
      </c>
      <c r="AG47" s="270">
        <v>8477.5349999999999</v>
      </c>
      <c r="AH47" s="271">
        <v>748000</v>
      </c>
      <c r="AI47" s="272">
        <f t="shared" si="8"/>
        <v>35217.055</v>
      </c>
      <c r="AJ47" s="272">
        <f t="shared" si="0"/>
        <v>34457.67</v>
      </c>
      <c r="AK47" s="273">
        <f t="shared" si="5"/>
        <v>0</v>
      </c>
      <c r="AL47" s="274">
        <f t="shared" si="5"/>
        <v>0</v>
      </c>
      <c r="AM47" s="275">
        <f t="shared" si="1"/>
        <v>24798000</v>
      </c>
      <c r="AN47" s="276">
        <f t="shared" si="6"/>
        <v>24798000</v>
      </c>
      <c r="AO47" s="277">
        <f t="shared" si="2"/>
        <v>24798000</v>
      </c>
      <c r="AP47" s="331"/>
      <c r="AQ47" s="278">
        <f t="shared" si="7"/>
        <v>0</v>
      </c>
      <c r="AR47" s="331">
        <f>IFERROR((VLOOKUP(B47,'АПП Баз'!$B$8:$Y$72,24,FALSE)*1000),0)</f>
        <v>0</v>
      </c>
      <c r="AS47" s="334">
        <f t="shared" si="9"/>
        <v>0</v>
      </c>
    </row>
    <row r="48" spans="1:45" ht="15" customHeight="1" x14ac:dyDescent="0.25">
      <c r="A48" s="261">
        <v>45</v>
      </c>
      <c r="B48" s="5">
        <v>392240</v>
      </c>
      <c r="C48" s="6" t="s">
        <v>141</v>
      </c>
      <c r="D48" s="262"/>
      <c r="E48" s="263"/>
      <c r="F48" s="264"/>
      <c r="G48" s="262"/>
      <c r="H48" s="264"/>
      <c r="I48" s="262"/>
      <c r="J48" s="264"/>
      <c r="K48" s="262"/>
      <c r="L48" s="265">
        <v>0</v>
      </c>
      <c r="M48" s="266">
        <v>0</v>
      </c>
      <c r="N48" s="264"/>
      <c r="O48" s="262"/>
      <c r="P48" s="267">
        <v>0</v>
      </c>
      <c r="Q48" s="265">
        <v>0</v>
      </c>
      <c r="R48" s="266">
        <v>0</v>
      </c>
      <c r="S48" s="264"/>
      <c r="T48" s="262"/>
      <c r="U48" s="268">
        <v>0</v>
      </c>
      <c r="V48" s="269">
        <v>0</v>
      </c>
      <c r="W48" s="268">
        <v>0</v>
      </c>
      <c r="X48" s="269">
        <v>0</v>
      </c>
      <c r="Y48" s="268">
        <v>0</v>
      </c>
      <c r="Z48" s="269">
        <v>0</v>
      </c>
      <c r="AA48" s="268">
        <v>0</v>
      </c>
      <c r="AB48" s="269">
        <v>0</v>
      </c>
      <c r="AC48" s="270">
        <v>2391.7849999999999</v>
      </c>
      <c r="AD48" s="271">
        <v>949000</v>
      </c>
      <c r="AE48" s="270">
        <v>1811.28</v>
      </c>
      <c r="AF48" s="271">
        <v>651000</v>
      </c>
      <c r="AG48" s="270">
        <v>528.72900000000004</v>
      </c>
      <c r="AH48" s="271">
        <v>51000</v>
      </c>
      <c r="AI48" s="272">
        <f t="shared" si="8"/>
        <v>2391.7849999999999</v>
      </c>
      <c r="AJ48" s="272">
        <f t="shared" si="0"/>
        <v>2340.009</v>
      </c>
      <c r="AK48" s="273">
        <f t="shared" si="5"/>
        <v>0</v>
      </c>
      <c r="AL48" s="274">
        <f t="shared" si="5"/>
        <v>0</v>
      </c>
      <c r="AM48" s="275">
        <f t="shared" si="1"/>
        <v>1651000</v>
      </c>
      <c r="AN48" s="276">
        <f t="shared" si="6"/>
        <v>1651000</v>
      </c>
      <c r="AO48" s="277">
        <f t="shared" si="2"/>
        <v>1651000</v>
      </c>
      <c r="AP48" s="331"/>
      <c r="AQ48" s="278">
        <f t="shared" si="7"/>
        <v>0</v>
      </c>
      <c r="AR48" s="331">
        <f>IFERROR((VLOOKUP(B48,'АПП Баз'!$B$8:$Y$72,24,FALSE)*1000),0)</f>
        <v>0</v>
      </c>
      <c r="AS48" s="334">
        <f t="shared" si="9"/>
        <v>0</v>
      </c>
    </row>
    <row r="49" spans="1:45" ht="15" customHeight="1" x14ac:dyDescent="0.25">
      <c r="A49" s="261">
        <v>46</v>
      </c>
      <c r="B49" s="5">
        <v>391090</v>
      </c>
      <c r="C49" s="6" t="s">
        <v>140</v>
      </c>
      <c r="D49" s="262"/>
      <c r="E49" s="263"/>
      <c r="F49" s="264"/>
      <c r="G49" s="262"/>
      <c r="H49" s="264"/>
      <c r="I49" s="262"/>
      <c r="J49" s="264"/>
      <c r="K49" s="262"/>
      <c r="L49" s="265">
        <v>0</v>
      </c>
      <c r="M49" s="266">
        <v>0</v>
      </c>
      <c r="N49" s="264"/>
      <c r="O49" s="262"/>
      <c r="P49" s="267">
        <v>0</v>
      </c>
      <c r="Q49" s="265">
        <v>0</v>
      </c>
      <c r="R49" s="266">
        <v>0</v>
      </c>
      <c r="S49" s="264"/>
      <c r="T49" s="262"/>
      <c r="U49" s="268">
        <v>0</v>
      </c>
      <c r="V49" s="269">
        <v>0</v>
      </c>
      <c r="W49" s="268">
        <v>0</v>
      </c>
      <c r="X49" s="269">
        <v>0</v>
      </c>
      <c r="Y49" s="268">
        <v>0</v>
      </c>
      <c r="Z49" s="269">
        <v>0</v>
      </c>
      <c r="AA49" s="268">
        <v>0</v>
      </c>
      <c r="AB49" s="269">
        <v>0</v>
      </c>
      <c r="AC49" s="270">
        <v>76950.542000000001</v>
      </c>
      <c r="AD49" s="271">
        <v>31078000</v>
      </c>
      <c r="AE49" s="270">
        <v>59316.091999999997</v>
      </c>
      <c r="AF49" s="271">
        <v>19635000</v>
      </c>
      <c r="AG49" s="270">
        <v>15947.154</v>
      </c>
      <c r="AH49" s="271">
        <v>1662000</v>
      </c>
      <c r="AI49" s="272">
        <f t="shared" si="8"/>
        <v>76950.542000000001</v>
      </c>
      <c r="AJ49" s="272">
        <f t="shared" si="0"/>
        <v>75263.245999999999</v>
      </c>
      <c r="AK49" s="273">
        <f t="shared" si="5"/>
        <v>0</v>
      </c>
      <c r="AL49" s="274">
        <f t="shared" si="5"/>
        <v>0</v>
      </c>
      <c r="AM49" s="275">
        <f t="shared" si="1"/>
        <v>52375000</v>
      </c>
      <c r="AN49" s="276">
        <f t="shared" si="6"/>
        <v>52375000</v>
      </c>
      <c r="AO49" s="277">
        <f t="shared" si="2"/>
        <v>52375000</v>
      </c>
      <c r="AP49" s="331"/>
      <c r="AQ49" s="278">
        <f t="shared" si="7"/>
        <v>0</v>
      </c>
      <c r="AR49" s="331">
        <f>IFERROR((VLOOKUP(B49,'АПП Баз'!$B$8:$Y$72,24,FALSE)*1000),0)</f>
        <v>0</v>
      </c>
      <c r="AS49" s="334">
        <f t="shared" si="9"/>
        <v>0</v>
      </c>
    </row>
    <row r="50" spans="1:45" ht="15" customHeight="1" x14ac:dyDescent="0.25">
      <c r="A50" s="261">
        <v>47</v>
      </c>
      <c r="B50" s="5">
        <v>391200</v>
      </c>
      <c r="C50" s="6" t="s">
        <v>139</v>
      </c>
      <c r="D50" s="262"/>
      <c r="E50" s="263"/>
      <c r="F50" s="264"/>
      <c r="G50" s="262"/>
      <c r="H50" s="264"/>
      <c r="I50" s="262"/>
      <c r="J50" s="264"/>
      <c r="K50" s="262"/>
      <c r="L50" s="265">
        <v>0</v>
      </c>
      <c r="M50" s="266">
        <v>0</v>
      </c>
      <c r="N50" s="264"/>
      <c r="O50" s="262"/>
      <c r="P50" s="267">
        <v>0</v>
      </c>
      <c r="Q50" s="265">
        <v>0</v>
      </c>
      <c r="R50" s="266">
        <v>0</v>
      </c>
      <c r="S50" s="264"/>
      <c r="T50" s="262"/>
      <c r="U50" s="268">
        <v>0</v>
      </c>
      <c r="V50" s="269">
        <v>0</v>
      </c>
      <c r="W50" s="268">
        <v>0</v>
      </c>
      <c r="X50" s="269">
        <v>0</v>
      </c>
      <c r="Y50" s="268">
        <v>0</v>
      </c>
      <c r="Z50" s="269">
        <v>0</v>
      </c>
      <c r="AA50" s="268">
        <v>0</v>
      </c>
      <c r="AB50" s="269">
        <v>0</v>
      </c>
      <c r="AC50" s="270">
        <v>13567.124</v>
      </c>
      <c r="AD50" s="271">
        <v>5406000</v>
      </c>
      <c r="AE50" s="270">
        <v>10318</v>
      </c>
      <c r="AF50" s="271">
        <v>3623000</v>
      </c>
      <c r="AG50" s="270">
        <v>2942.5279999999998</v>
      </c>
      <c r="AH50" s="271">
        <v>302000</v>
      </c>
      <c r="AI50" s="272">
        <f t="shared" si="8"/>
        <v>13567.124</v>
      </c>
      <c r="AJ50" s="272">
        <f t="shared" si="0"/>
        <v>13260.528</v>
      </c>
      <c r="AK50" s="273">
        <f t="shared" si="5"/>
        <v>0</v>
      </c>
      <c r="AL50" s="274">
        <f t="shared" si="5"/>
        <v>0</v>
      </c>
      <c r="AM50" s="275">
        <f t="shared" si="1"/>
        <v>9331000</v>
      </c>
      <c r="AN50" s="276">
        <f t="shared" si="6"/>
        <v>9331000</v>
      </c>
      <c r="AO50" s="277">
        <f t="shared" si="2"/>
        <v>9331000</v>
      </c>
      <c r="AP50" s="331"/>
      <c r="AQ50" s="278">
        <f t="shared" si="7"/>
        <v>0</v>
      </c>
      <c r="AR50" s="331">
        <f>IFERROR((VLOOKUP(B50,'АПП Баз'!$B$8:$Y$72,24,FALSE)*1000),0)</f>
        <v>0</v>
      </c>
      <c r="AS50" s="334">
        <f t="shared" si="9"/>
        <v>0</v>
      </c>
    </row>
    <row r="51" spans="1:45" ht="15" customHeight="1" x14ac:dyDescent="0.25">
      <c r="A51" s="261">
        <v>48</v>
      </c>
      <c r="B51" s="5">
        <v>391350</v>
      </c>
      <c r="C51" s="6" t="s">
        <v>138</v>
      </c>
      <c r="D51" s="262"/>
      <c r="E51" s="263"/>
      <c r="F51" s="264"/>
      <c r="G51" s="262"/>
      <c r="H51" s="264"/>
      <c r="I51" s="262"/>
      <c r="J51" s="264"/>
      <c r="K51" s="262"/>
      <c r="L51" s="265">
        <v>0</v>
      </c>
      <c r="M51" s="266">
        <v>0</v>
      </c>
      <c r="N51" s="264"/>
      <c r="O51" s="262"/>
      <c r="P51" s="267">
        <v>0</v>
      </c>
      <c r="Q51" s="265">
        <v>0</v>
      </c>
      <c r="R51" s="266">
        <v>0</v>
      </c>
      <c r="S51" s="264"/>
      <c r="T51" s="262"/>
      <c r="U51" s="268">
        <v>0</v>
      </c>
      <c r="V51" s="269">
        <v>0</v>
      </c>
      <c r="W51" s="268">
        <v>0</v>
      </c>
      <c r="X51" s="269">
        <v>0</v>
      </c>
      <c r="Y51" s="268">
        <v>0</v>
      </c>
      <c r="Z51" s="269">
        <v>0</v>
      </c>
      <c r="AA51" s="268">
        <v>0</v>
      </c>
      <c r="AB51" s="269">
        <v>0</v>
      </c>
      <c r="AC51" s="270">
        <v>10886.04</v>
      </c>
      <c r="AD51" s="271">
        <v>4590000</v>
      </c>
      <c r="AE51" s="270">
        <v>8760.5660000000007</v>
      </c>
      <c r="AF51" s="271">
        <v>2387000</v>
      </c>
      <c r="AG51" s="270">
        <v>1938.674</v>
      </c>
      <c r="AH51" s="271">
        <v>184000</v>
      </c>
      <c r="AI51" s="272">
        <f t="shared" si="8"/>
        <v>10886.04</v>
      </c>
      <c r="AJ51" s="272">
        <f t="shared" si="0"/>
        <v>10699.240000000002</v>
      </c>
      <c r="AK51" s="273">
        <f t="shared" si="5"/>
        <v>0</v>
      </c>
      <c r="AL51" s="274">
        <f t="shared" si="5"/>
        <v>0</v>
      </c>
      <c r="AM51" s="275">
        <f t="shared" si="1"/>
        <v>7161000</v>
      </c>
      <c r="AN51" s="276">
        <f t="shared" si="6"/>
        <v>7161000</v>
      </c>
      <c r="AO51" s="277">
        <f t="shared" si="2"/>
        <v>7161000</v>
      </c>
      <c r="AP51" s="331"/>
      <c r="AQ51" s="278">
        <f t="shared" si="7"/>
        <v>0</v>
      </c>
      <c r="AR51" s="331">
        <f>IFERROR((VLOOKUP(B51,'АПП Баз'!$B$8:$Y$72,24,FALSE)*1000),0)</f>
        <v>0</v>
      </c>
      <c r="AS51" s="334">
        <f t="shared" si="9"/>
        <v>0</v>
      </c>
    </row>
    <row r="52" spans="1:45" ht="15" customHeight="1" x14ac:dyDescent="0.25">
      <c r="A52" s="261">
        <v>49</v>
      </c>
      <c r="B52" s="5">
        <v>391640</v>
      </c>
      <c r="C52" s="6" t="s">
        <v>137</v>
      </c>
      <c r="D52" s="262"/>
      <c r="E52" s="263"/>
      <c r="F52" s="264"/>
      <c r="G52" s="262"/>
      <c r="H52" s="264"/>
      <c r="I52" s="262"/>
      <c r="J52" s="264"/>
      <c r="K52" s="262"/>
      <c r="L52" s="265">
        <v>0</v>
      </c>
      <c r="M52" s="266">
        <v>0</v>
      </c>
      <c r="N52" s="264"/>
      <c r="O52" s="262"/>
      <c r="P52" s="267">
        <v>0</v>
      </c>
      <c r="Q52" s="265">
        <v>0</v>
      </c>
      <c r="R52" s="266">
        <v>0</v>
      </c>
      <c r="S52" s="264"/>
      <c r="T52" s="262"/>
      <c r="U52" s="268">
        <v>0</v>
      </c>
      <c r="V52" s="269">
        <v>0</v>
      </c>
      <c r="W52" s="268">
        <v>0</v>
      </c>
      <c r="X52" s="269">
        <v>0</v>
      </c>
      <c r="Y52" s="268">
        <v>0</v>
      </c>
      <c r="Z52" s="269">
        <v>0</v>
      </c>
      <c r="AA52" s="268">
        <v>0</v>
      </c>
      <c r="AB52" s="269">
        <v>0</v>
      </c>
      <c r="AC52" s="270">
        <v>14408.540999999999</v>
      </c>
      <c r="AD52" s="271">
        <v>6131000</v>
      </c>
      <c r="AE52" s="270">
        <v>11701.749</v>
      </c>
      <c r="AF52" s="271">
        <v>3039000</v>
      </c>
      <c r="AG52" s="270">
        <v>2468.2150000000001</v>
      </c>
      <c r="AH52" s="271">
        <v>235000</v>
      </c>
      <c r="AI52" s="272">
        <f t="shared" si="8"/>
        <v>14408.540999999999</v>
      </c>
      <c r="AJ52" s="272">
        <f t="shared" si="0"/>
        <v>14169.964</v>
      </c>
      <c r="AK52" s="273">
        <f t="shared" si="5"/>
        <v>0</v>
      </c>
      <c r="AL52" s="274">
        <f t="shared" si="5"/>
        <v>0</v>
      </c>
      <c r="AM52" s="275">
        <f t="shared" si="1"/>
        <v>9405000</v>
      </c>
      <c r="AN52" s="276">
        <f t="shared" si="6"/>
        <v>9405000</v>
      </c>
      <c r="AO52" s="277">
        <f t="shared" si="2"/>
        <v>9405000</v>
      </c>
      <c r="AP52" s="331"/>
      <c r="AQ52" s="278">
        <f t="shared" si="7"/>
        <v>0</v>
      </c>
      <c r="AR52" s="331">
        <f>IFERROR((VLOOKUP(B52,'АПП Баз'!$B$8:$Y$72,24,FALSE)*1000),0)</f>
        <v>0</v>
      </c>
      <c r="AS52" s="334">
        <f t="shared" si="9"/>
        <v>0</v>
      </c>
    </row>
    <row r="53" spans="1:45" ht="15" customHeight="1" x14ac:dyDescent="0.25">
      <c r="A53" s="261">
        <v>50</v>
      </c>
      <c r="B53" s="5">
        <v>391720</v>
      </c>
      <c r="C53" s="6" t="s">
        <v>136</v>
      </c>
      <c r="D53" s="262"/>
      <c r="E53" s="263"/>
      <c r="F53" s="264"/>
      <c r="G53" s="262"/>
      <c r="H53" s="264"/>
      <c r="I53" s="262"/>
      <c r="J53" s="264"/>
      <c r="K53" s="262"/>
      <c r="L53" s="265">
        <v>0</v>
      </c>
      <c r="M53" s="266">
        <v>0</v>
      </c>
      <c r="N53" s="264"/>
      <c r="O53" s="262"/>
      <c r="P53" s="267">
        <v>0</v>
      </c>
      <c r="Q53" s="265">
        <v>0</v>
      </c>
      <c r="R53" s="266">
        <v>0</v>
      </c>
      <c r="S53" s="264"/>
      <c r="T53" s="262"/>
      <c r="U53" s="268">
        <v>0</v>
      </c>
      <c r="V53" s="269">
        <v>0</v>
      </c>
      <c r="W53" s="268">
        <v>0</v>
      </c>
      <c r="X53" s="269">
        <v>0</v>
      </c>
      <c r="Y53" s="268">
        <v>0</v>
      </c>
      <c r="Z53" s="269">
        <v>0</v>
      </c>
      <c r="AA53" s="268">
        <v>0</v>
      </c>
      <c r="AB53" s="269">
        <v>0</v>
      </c>
      <c r="AC53" s="270">
        <v>5109.2970000000005</v>
      </c>
      <c r="AD53" s="271">
        <v>1996000</v>
      </c>
      <c r="AE53" s="270">
        <v>3809.6060000000002</v>
      </c>
      <c r="AF53" s="271">
        <v>1459000</v>
      </c>
      <c r="AG53" s="270">
        <v>1184.971</v>
      </c>
      <c r="AH53" s="271">
        <v>113000</v>
      </c>
      <c r="AI53" s="272">
        <f t="shared" si="8"/>
        <v>5109.2970000000005</v>
      </c>
      <c r="AJ53" s="272">
        <f t="shared" si="0"/>
        <v>4994.5770000000002</v>
      </c>
      <c r="AK53" s="273">
        <f t="shared" si="5"/>
        <v>0</v>
      </c>
      <c r="AL53" s="274">
        <f t="shared" si="5"/>
        <v>0</v>
      </c>
      <c r="AM53" s="275">
        <f t="shared" si="1"/>
        <v>3568000</v>
      </c>
      <c r="AN53" s="276">
        <f t="shared" si="6"/>
        <v>3568000</v>
      </c>
      <c r="AO53" s="277">
        <f t="shared" si="2"/>
        <v>3568000</v>
      </c>
      <c r="AP53" s="331"/>
      <c r="AQ53" s="278">
        <f t="shared" si="7"/>
        <v>0</v>
      </c>
      <c r="AR53" s="331">
        <f>IFERROR((VLOOKUP(B53,'АПП Баз'!$B$8:$Y$72,24,FALSE)*1000),0)</f>
        <v>0</v>
      </c>
      <c r="AS53" s="334">
        <f t="shared" si="9"/>
        <v>0</v>
      </c>
    </row>
    <row r="54" spans="1:45" ht="15" customHeight="1" x14ac:dyDescent="0.25">
      <c r="A54" s="261">
        <v>51</v>
      </c>
      <c r="B54" s="5">
        <v>392390</v>
      </c>
      <c r="C54" s="6" t="s">
        <v>135</v>
      </c>
      <c r="D54" s="262"/>
      <c r="E54" s="263"/>
      <c r="F54" s="264"/>
      <c r="G54" s="262"/>
      <c r="H54" s="264"/>
      <c r="I54" s="262"/>
      <c r="J54" s="264"/>
      <c r="K54" s="262"/>
      <c r="L54" s="265">
        <v>0</v>
      </c>
      <c r="M54" s="266">
        <v>0</v>
      </c>
      <c r="N54" s="264"/>
      <c r="O54" s="262"/>
      <c r="P54" s="267">
        <v>0</v>
      </c>
      <c r="Q54" s="265">
        <v>0</v>
      </c>
      <c r="R54" s="266">
        <v>0</v>
      </c>
      <c r="S54" s="264"/>
      <c r="T54" s="262"/>
      <c r="U54" s="268">
        <v>0</v>
      </c>
      <c r="V54" s="269">
        <v>0</v>
      </c>
      <c r="W54" s="268">
        <v>0</v>
      </c>
      <c r="X54" s="269">
        <v>0</v>
      </c>
      <c r="Y54" s="268">
        <v>0</v>
      </c>
      <c r="Z54" s="269">
        <v>0</v>
      </c>
      <c r="AA54" s="268">
        <v>0</v>
      </c>
      <c r="AB54" s="269">
        <v>0</v>
      </c>
      <c r="AC54" s="270">
        <v>19243.442999999999</v>
      </c>
      <c r="AD54" s="271">
        <v>7636000</v>
      </c>
      <c r="AE54" s="270">
        <v>14574.222</v>
      </c>
      <c r="AF54" s="271">
        <v>5239000</v>
      </c>
      <c r="AG54" s="270">
        <v>4255.0110000000004</v>
      </c>
      <c r="AH54" s="271">
        <v>408000</v>
      </c>
      <c r="AI54" s="272">
        <f t="shared" si="8"/>
        <v>19243.442999999999</v>
      </c>
      <c r="AJ54" s="272">
        <f t="shared" si="0"/>
        <v>18829.233</v>
      </c>
      <c r="AK54" s="273">
        <f t="shared" si="5"/>
        <v>0</v>
      </c>
      <c r="AL54" s="274">
        <f t="shared" si="5"/>
        <v>0</v>
      </c>
      <c r="AM54" s="275">
        <f t="shared" si="1"/>
        <v>13283000</v>
      </c>
      <c r="AN54" s="276">
        <f t="shared" si="6"/>
        <v>13283000</v>
      </c>
      <c r="AO54" s="277">
        <f t="shared" si="2"/>
        <v>13283000</v>
      </c>
      <c r="AP54" s="331"/>
      <c r="AQ54" s="278">
        <f t="shared" si="7"/>
        <v>0</v>
      </c>
      <c r="AR54" s="331">
        <f>IFERROR((VLOOKUP(B54,'АПП Баз'!$B$8:$Y$72,24,FALSE)*1000),0)</f>
        <v>0</v>
      </c>
      <c r="AS54" s="334">
        <f t="shared" si="9"/>
        <v>0</v>
      </c>
    </row>
    <row r="55" spans="1:45" ht="15" customHeight="1" x14ac:dyDescent="0.25">
      <c r="A55" s="261">
        <v>52</v>
      </c>
      <c r="B55" s="5">
        <v>392310</v>
      </c>
      <c r="C55" s="6" t="s">
        <v>134</v>
      </c>
      <c r="D55" s="262"/>
      <c r="E55" s="263"/>
      <c r="F55" s="264"/>
      <c r="G55" s="262"/>
      <c r="H55" s="264"/>
      <c r="I55" s="262"/>
      <c r="J55" s="264"/>
      <c r="K55" s="262"/>
      <c r="L55" s="265">
        <v>0</v>
      </c>
      <c r="M55" s="266">
        <v>0</v>
      </c>
      <c r="N55" s="264"/>
      <c r="O55" s="262"/>
      <c r="P55" s="267">
        <v>0</v>
      </c>
      <c r="Q55" s="265">
        <v>0</v>
      </c>
      <c r="R55" s="266">
        <v>0</v>
      </c>
      <c r="S55" s="264"/>
      <c r="T55" s="262"/>
      <c r="U55" s="268">
        <v>0</v>
      </c>
      <c r="V55" s="269">
        <v>0</v>
      </c>
      <c r="W55" s="268">
        <v>0</v>
      </c>
      <c r="X55" s="269">
        <v>0</v>
      </c>
      <c r="Y55" s="268">
        <v>0</v>
      </c>
      <c r="Z55" s="269">
        <v>0</v>
      </c>
      <c r="AA55" s="268">
        <v>0</v>
      </c>
      <c r="AB55" s="269">
        <v>0</v>
      </c>
      <c r="AC55" s="270">
        <v>5626.5330000000004</v>
      </c>
      <c r="AD55" s="271">
        <v>2267000</v>
      </c>
      <c r="AE55" s="270">
        <v>4326.8419999999996</v>
      </c>
      <c r="AF55" s="271">
        <v>1459000</v>
      </c>
      <c r="AG55" s="270">
        <v>1184.971</v>
      </c>
      <c r="AH55" s="271">
        <v>113000</v>
      </c>
      <c r="AI55" s="272">
        <f t="shared" si="8"/>
        <v>5626.5330000000004</v>
      </c>
      <c r="AJ55" s="272">
        <f t="shared" si="0"/>
        <v>5511.8130000000001</v>
      </c>
      <c r="AK55" s="273">
        <f t="shared" si="5"/>
        <v>0</v>
      </c>
      <c r="AL55" s="274">
        <f t="shared" si="5"/>
        <v>0</v>
      </c>
      <c r="AM55" s="275">
        <f t="shared" si="1"/>
        <v>3839000</v>
      </c>
      <c r="AN55" s="276">
        <f t="shared" si="6"/>
        <v>3839000</v>
      </c>
      <c r="AO55" s="277">
        <f t="shared" si="2"/>
        <v>3839000</v>
      </c>
      <c r="AP55" s="331"/>
      <c r="AQ55" s="278">
        <f t="shared" si="7"/>
        <v>0</v>
      </c>
      <c r="AR55" s="331">
        <f>IFERROR((VLOOKUP(B55,'АПП Баз'!$B$8:$Y$72,24,FALSE)*1000),0)</f>
        <v>0</v>
      </c>
      <c r="AS55" s="334">
        <f t="shared" si="9"/>
        <v>0</v>
      </c>
    </row>
    <row r="56" spans="1:45" ht="15" customHeight="1" x14ac:dyDescent="0.25">
      <c r="A56" s="261">
        <v>53</v>
      </c>
      <c r="B56" s="5">
        <v>391330</v>
      </c>
      <c r="C56" s="6" t="s">
        <v>133</v>
      </c>
      <c r="D56" s="262"/>
      <c r="E56" s="263"/>
      <c r="F56" s="264"/>
      <c r="G56" s="262"/>
      <c r="H56" s="264"/>
      <c r="I56" s="262"/>
      <c r="J56" s="264"/>
      <c r="K56" s="262"/>
      <c r="L56" s="265">
        <v>0</v>
      </c>
      <c r="M56" s="266">
        <v>0</v>
      </c>
      <c r="N56" s="264"/>
      <c r="O56" s="262"/>
      <c r="P56" s="267">
        <v>0</v>
      </c>
      <c r="Q56" s="265">
        <v>0</v>
      </c>
      <c r="R56" s="266">
        <v>0</v>
      </c>
      <c r="S56" s="264"/>
      <c r="T56" s="262"/>
      <c r="U56" s="268">
        <v>0</v>
      </c>
      <c r="V56" s="269">
        <v>0</v>
      </c>
      <c r="W56" s="268">
        <v>0</v>
      </c>
      <c r="X56" s="269">
        <v>0</v>
      </c>
      <c r="Y56" s="268">
        <v>0</v>
      </c>
      <c r="Z56" s="269">
        <v>0</v>
      </c>
      <c r="AA56" s="268">
        <v>0</v>
      </c>
      <c r="AB56" s="269">
        <v>0</v>
      </c>
      <c r="AC56" s="270">
        <v>3596.3690000000001</v>
      </c>
      <c r="AD56" s="271">
        <v>1033000</v>
      </c>
      <c r="AE56" s="270">
        <v>1971.604</v>
      </c>
      <c r="AF56" s="271">
        <v>1823000</v>
      </c>
      <c r="AG56" s="270">
        <v>1480.604</v>
      </c>
      <c r="AH56" s="271">
        <v>142000</v>
      </c>
      <c r="AI56" s="272">
        <f t="shared" si="8"/>
        <v>3596.3690000000001</v>
      </c>
      <c r="AJ56" s="272">
        <f t="shared" si="0"/>
        <v>3452.2080000000001</v>
      </c>
      <c r="AK56" s="273">
        <f t="shared" si="5"/>
        <v>0</v>
      </c>
      <c r="AL56" s="274">
        <f t="shared" si="5"/>
        <v>0</v>
      </c>
      <c r="AM56" s="275">
        <f t="shared" si="1"/>
        <v>2998000</v>
      </c>
      <c r="AN56" s="276">
        <f t="shared" si="6"/>
        <v>2998000</v>
      </c>
      <c r="AO56" s="277">
        <f t="shared" si="2"/>
        <v>2998000</v>
      </c>
      <c r="AP56" s="331"/>
      <c r="AQ56" s="278">
        <f t="shared" si="7"/>
        <v>0</v>
      </c>
      <c r="AR56" s="331">
        <f>IFERROR((VLOOKUP(B56,'АПП Баз'!$B$8:$Y$72,24,FALSE)*1000),0)</f>
        <v>0</v>
      </c>
      <c r="AS56" s="334">
        <f t="shared" si="9"/>
        <v>0</v>
      </c>
    </row>
    <row r="57" spans="1:45" ht="15" customHeight="1" x14ac:dyDescent="0.25">
      <c r="A57" s="261">
        <v>54</v>
      </c>
      <c r="B57" s="5">
        <v>392330</v>
      </c>
      <c r="C57" s="6" t="s">
        <v>132</v>
      </c>
      <c r="D57" s="262"/>
      <c r="E57" s="263"/>
      <c r="F57" s="264"/>
      <c r="G57" s="262"/>
      <c r="H57" s="264"/>
      <c r="I57" s="262"/>
      <c r="J57" s="264"/>
      <c r="K57" s="262"/>
      <c r="L57" s="265">
        <v>0</v>
      </c>
      <c r="M57" s="266">
        <v>0</v>
      </c>
      <c r="N57" s="264"/>
      <c r="O57" s="262"/>
      <c r="P57" s="267">
        <v>0</v>
      </c>
      <c r="Q57" s="265">
        <v>0</v>
      </c>
      <c r="R57" s="266">
        <v>0</v>
      </c>
      <c r="S57" s="264"/>
      <c r="T57" s="262"/>
      <c r="U57" s="268">
        <v>0</v>
      </c>
      <c r="V57" s="269">
        <v>0</v>
      </c>
      <c r="W57" s="268">
        <v>0</v>
      </c>
      <c r="X57" s="269">
        <v>0</v>
      </c>
      <c r="Y57" s="268">
        <v>0</v>
      </c>
      <c r="Z57" s="269">
        <v>0</v>
      </c>
      <c r="AA57" s="268">
        <v>0</v>
      </c>
      <c r="AB57" s="269">
        <v>0</v>
      </c>
      <c r="AC57" s="270">
        <v>3994.2559999999999</v>
      </c>
      <c r="AD57" s="271">
        <v>1582000</v>
      </c>
      <c r="AE57" s="270">
        <v>3019.4369999999999</v>
      </c>
      <c r="AF57" s="271">
        <v>1094000</v>
      </c>
      <c r="AG57" s="270">
        <v>888.52499999999998</v>
      </c>
      <c r="AH57" s="271">
        <v>85000</v>
      </c>
      <c r="AI57" s="272">
        <f t="shared" si="8"/>
        <v>3994.2559999999999</v>
      </c>
      <c r="AJ57" s="272">
        <f t="shared" si="0"/>
        <v>3907.962</v>
      </c>
      <c r="AK57" s="273">
        <f t="shared" si="5"/>
        <v>0</v>
      </c>
      <c r="AL57" s="274">
        <f t="shared" si="5"/>
        <v>0</v>
      </c>
      <c r="AM57" s="275">
        <f t="shared" si="1"/>
        <v>2761000</v>
      </c>
      <c r="AN57" s="276">
        <f t="shared" si="6"/>
        <v>2761000</v>
      </c>
      <c r="AO57" s="277">
        <f t="shared" si="2"/>
        <v>2761000</v>
      </c>
      <c r="AP57" s="331"/>
      <c r="AQ57" s="278">
        <f t="shared" si="7"/>
        <v>0</v>
      </c>
      <c r="AR57" s="331">
        <f>IFERROR((VLOOKUP(B57,'АПП Баз'!$B$8:$Y$72,24,FALSE)*1000),0)</f>
        <v>0</v>
      </c>
      <c r="AS57" s="334">
        <f t="shared" si="9"/>
        <v>0</v>
      </c>
    </row>
    <row r="58" spans="1:45" ht="15" customHeight="1" x14ac:dyDescent="0.25">
      <c r="A58" s="261">
        <v>55</v>
      </c>
      <c r="B58" s="5">
        <v>392350</v>
      </c>
      <c r="C58" s="6" t="s">
        <v>131</v>
      </c>
      <c r="D58" s="262"/>
      <c r="E58" s="263"/>
      <c r="F58" s="264"/>
      <c r="G58" s="262"/>
      <c r="H58" s="264"/>
      <c r="I58" s="262"/>
      <c r="J58" s="264"/>
      <c r="K58" s="262"/>
      <c r="L58" s="265">
        <v>0</v>
      </c>
      <c r="M58" s="266">
        <v>0</v>
      </c>
      <c r="N58" s="264"/>
      <c r="O58" s="262"/>
      <c r="P58" s="267">
        <v>0</v>
      </c>
      <c r="Q58" s="265">
        <v>0</v>
      </c>
      <c r="R58" s="266">
        <v>0</v>
      </c>
      <c r="S58" s="264"/>
      <c r="T58" s="262"/>
      <c r="U58" s="268">
        <v>0</v>
      </c>
      <c r="V58" s="269">
        <v>0</v>
      </c>
      <c r="W58" s="268">
        <v>0</v>
      </c>
      <c r="X58" s="269">
        <v>0</v>
      </c>
      <c r="Y58" s="268">
        <v>0</v>
      </c>
      <c r="Z58" s="269">
        <v>0</v>
      </c>
      <c r="AA58" s="268">
        <v>0</v>
      </c>
      <c r="AB58" s="269">
        <v>0</v>
      </c>
      <c r="AC58" s="270">
        <v>983.67100000000005</v>
      </c>
      <c r="AD58" s="271">
        <v>414000</v>
      </c>
      <c r="AE58" s="270">
        <v>790.16899999999998</v>
      </c>
      <c r="AF58" s="271">
        <v>217000</v>
      </c>
      <c r="AG58" s="270">
        <v>176.24299999999999</v>
      </c>
      <c r="AH58" s="271">
        <v>17000</v>
      </c>
      <c r="AI58" s="272">
        <f t="shared" si="8"/>
        <v>983.67100000000005</v>
      </c>
      <c r="AJ58" s="272">
        <f t="shared" si="0"/>
        <v>966.41200000000003</v>
      </c>
      <c r="AK58" s="273">
        <f t="shared" si="5"/>
        <v>0</v>
      </c>
      <c r="AL58" s="274">
        <f t="shared" si="5"/>
        <v>0</v>
      </c>
      <c r="AM58" s="275">
        <f t="shared" si="1"/>
        <v>648000</v>
      </c>
      <c r="AN58" s="276">
        <f t="shared" si="6"/>
        <v>648000</v>
      </c>
      <c r="AO58" s="277">
        <f t="shared" si="2"/>
        <v>648000</v>
      </c>
      <c r="AP58" s="331"/>
      <c r="AQ58" s="278">
        <f t="shared" si="7"/>
        <v>0</v>
      </c>
      <c r="AR58" s="331">
        <f>IFERROR((VLOOKUP(B58,'АПП Баз'!$B$8:$Y$72,24,FALSE)*1000),0)</f>
        <v>0</v>
      </c>
      <c r="AS58" s="334">
        <f t="shared" si="9"/>
        <v>0</v>
      </c>
    </row>
    <row r="59" spans="1:45" ht="15" customHeight="1" x14ac:dyDescent="0.25">
      <c r="A59" s="261">
        <v>56</v>
      </c>
      <c r="B59" s="5">
        <v>392380</v>
      </c>
      <c r="C59" s="6" t="s">
        <v>130</v>
      </c>
      <c r="D59" s="262"/>
      <c r="E59" s="263"/>
      <c r="F59" s="264"/>
      <c r="G59" s="262"/>
      <c r="H59" s="264"/>
      <c r="I59" s="262"/>
      <c r="J59" s="264"/>
      <c r="K59" s="262"/>
      <c r="L59" s="265">
        <v>0</v>
      </c>
      <c r="M59" s="266">
        <v>0</v>
      </c>
      <c r="N59" s="264"/>
      <c r="O59" s="262"/>
      <c r="P59" s="267">
        <v>0</v>
      </c>
      <c r="Q59" s="265">
        <v>0</v>
      </c>
      <c r="R59" s="266">
        <v>0</v>
      </c>
      <c r="S59" s="264"/>
      <c r="T59" s="262"/>
      <c r="U59" s="268">
        <v>0</v>
      </c>
      <c r="V59" s="269">
        <v>0</v>
      </c>
      <c r="W59" s="268">
        <v>0</v>
      </c>
      <c r="X59" s="269">
        <v>0</v>
      </c>
      <c r="Y59" s="268">
        <v>0</v>
      </c>
      <c r="Z59" s="269">
        <v>0</v>
      </c>
      <c r="AA59" s="268">
        <v>0</v>
      </c>
      <c r="AB59" s="269">
        <v>0</v>
      </c>
      <c r="AC59" s="270">
        <v>3144.96</v>
      </c>
      <c r="AD59" s="271">
        <v>1195000</v>
      </c>
      <c r="AE59" s="270">
        <v>2280.8009999999999</v>
      </c>
      <c r="AF59" s="271">
        <v>994000</v>
      </c>
      <c r="AG59" s="270">
        <v>807.30700000000002</v>
      </c>
      <c r="AH59" s="271">
        <v>56000</v>
      </c>
      <c r="AI59" s="272">
        <f t="shared" si="8"/>
        <v>3144.96</v>
      </c>
      <c r="AJ59" s="272">
        <f t="shared" si="0"/>
        <v>3088.1080000000002</v>
      </c>
      <c r="AK59" s="273">
        <f t="shared" si="5"/>
        <v>0</v>
      </c>
      <c r="AL59" s="274">
        <f t="shared" si="5"/>
        <v>0</v>
      </c>
      <c r="AM59" s="275">
        <f t="shared" si="1"/>
        <v>2245000</v>
      </c>
      <c r="AN59" s="276">
        <f t="shared" si="6"/>
        <v>2245000</v>
      </c>
      <c r="AO59" s="277">
        <f t="shared" si="2"/>
        <v>2245000</v>
      </c>
      <c r="AP59" s="331"/>
      <c r="AQ59" s="278">
        <f t="shared" si="7"/>
        <v>0</v>
      </c>
      <c r="AR59" s="331">
        <f>IFERROR((VLOOKUP(B59,'АПП Баз'!$B$8:$Y$72,24,FALSE)*1000),0)</f>
        <v>0</v>
      </c>
      <c r="AS59" s="334">
        <f t="shared" si="9"/>
        <v>0</v>
      </c>
    </row>
    <row r="60" spans="1:45" ht="15" customHeight="1" x14ac:dyDescent="0.25">
      <c r="A60" s="261">
        <v>57</v>
      </c>
      <c r="B60" s="5">
        <v>392610</v>
      </c>
      <c r="C60" s="6" t="s">
        <v>129</v>
      </c>
      <c r="D60" s="262"/>
      <c r="E60" s="263"/>
      <c r="F60" s="264"/>
      <c r="G60" s="262"/>
      <c r="H60" s="264"/>
      <c r="I60" s="262"/>
      <c r="J60" s="264"/>
      <c r="K60" s="262"/>
      <c r="L60" s="265">
        <v>0</v>
      </c>
      <c r="M60" s="266">
        <v>0</v>
      </c>
      <c r="N60" s="264"/>
      <c r="O60" s="262"/>
      <c r="P60" s="267">
        <v>0</v>
      </c>
      <c r="Q60" s="265">
        <v>0</v>
      </c>
      <c r="R60" s="266">
        <v>0</v>
      </c>
      <c r="S60" s="264"/>
      <c r="T60" s="262"/>
      <c r="U60" s="268">
        <v>0</v>
      </c>
      <c r="V60" s="269">
        <v>0</v>
      </c>
      <c r="W60" s="268">
        <v>0</v>
      </c>
      <c r="X60" s="269">
        <v>0</v>
      </c>
      <c r="Y60" s="268">
        <v>0</v>
      </c>
      <c r="Z60" s="269">
        <v>0</v>
      </c>
      <c r="AA60" s="268">
        <v>0</v>
      </c>
      <c r="AB60" s="269">
        <v>0</v>
      </c>
      <c r="AC60" s="270">
        <v>385.988</v>
      </c>
      <c r="AD60" s="271">
        <v>155000</v>
      </c>
      <c r="AE60" s="270">
        <v>295.83600000000001</v>
      </c>
      <c r="AF60" s="271">
        <v>101000</v>
      </c>
      <c r="AG60" s="270">
        <v>82.03</v>
      </c>
      <c r="AH60" s="271">
        <v>8000</v>
      </c>
      <c r="AI60" s="272">
        <f t="shared" si="8"/>
        <v>385.988</v>
      </c>
      <c r="AJ60" s="272">
        <f t="shared" si="0"/>
        <v>377.86599999999999</v>
      </c>
      <c r="AK60" s="273">
        <f t="shared" si="5"/>
        <v>0</v>
      </c>
      <c r="AL60" s="274">
        <f t="shared" si="5"/>
        <v>0</v>
      </c>
      <c r="AM60" s="275">
        <f t="shared" si="1"/>
        <v>264000</v>
      </c>
      <c r="AN60" s="276">
        <f t="shared" si="6"/>
        <v>264000</v>
      </c>
      <c r="AO60" s="277">
        <f t="shared" si="2"/>
        <v>264000</v>
      </c>
      <c r="AP60" s="331"/>
      <c r="AQ60" s="278">
        <f t="shared" si="7"/>
        <v>0</v>
      </c>
      <c r="AR60" s="331">
        <f>IFERROR((VLOOKUP(B60,'АПП Баз'!$B$8:$Y$72,24,FALSE)*1000),0)</f>
        <v>0</v>
      </c>
      <c r="AS60" s="334">
        <f t="shared" si="9"/>
        <v>0</v>
      </c>
    </row>
    <row r="61" spans="1:45" ht="15" customHeight="1" x14ac:dyDescent="0.25">
      <c r="A61" s="261">
        <v>58</v>
      </c>
      <c r="B61" s="5">
        <v>392620</v>
      </c>
      <c r="C61" s="6" t="s">
        <v>128</v>
      </c>
      <c r="D61" s="262"/>
      <c r="E61" s="263"/>
      <c r="F61" s="264"/>
      <c r="G61" s="262"/>
      <c r="H61" s="264"/>
      <c r="I61" s="262"/>
      <c r="J61" s="264"/>
      <c r="K61" s="262"/>
      <c r="L61" s="265">
        <v>0</v>
      </c>
      <c r="M61" s="266">
        <v>0</v>
      </c>
      <c r="N61" s="264"/>
      <c r="O61" s="262"/>
      <c r="P61" s="267">
        <v>0</v>
      </c>
      <c r="Q61" s="265">
        <v>0</v>
      </c>
      <c r="R61" s="266">
        <v>0</v>
      </c>
      <c r="S61" s="264"/>
      <c r="T61" s="262"/>
      <c r="U61" s="268">
        <v>0</v>
      </c>
      <c r="V61" s="269">
        <v>0</v>
      </c>
      <c r="W61" s="268">
        <v>0</v>
      </c>
      <c r="X61" s="269">
        <v>0</v>
      </c>
      <c r="Y61" s="268">
        <v>0</v>
      </c>
      <c r="Z61" s="269">
        <v>0</v>
      </c>
      <c r="AA61" s="268">
        <v>0</v>
      </c>
      <c r="AB61" s="269">
        <v>0</v>
      </c>
      <c r="AC61" s="270">
        <v>527.83500000000004</v>
      </c>
      <c r="AD61" s="271">
        <v>209000</v>
      </c>
      <c r="AE61" s="270">
        <v>398.90199999999999</v>
      </c>
      <c r="AF61" s="271">
        <v>145000</v>
      </c>
      <c r="AG61" s="270">
        <v>117.76600000000001</v>
      </c>
      <c r="AH61" s="271">
        <v>11000</v>
      </c>
      <c r="AI61" s="272">
        <f t="shared" si="8"/>
        <v>527.83500000000004</v>
      </c>
      <c r="AJ61" s="272">
        <f t="shared" si="0"/>
        <v>516.66800000000001</v>
      </c>
      <c r="AK61" s="273">
        <f t="shared" si="5"/>
        <v>0</v>
      </c>
      <c r="AL61" s="274">
        <f t="shared" si="5"/>
        <v>0</v>
      </c>
      <c r="AM61" s="275">
        <f t="shared" si="1"/>
        <v>365000</v>
      </c>
      <c r="AN61" s="276">
        <f t="shared" si="6"/>
        <v>365000</v>
      </c>
      <c r="AO61" s="277">
        <f t="shared" si="2"/>
        <v>365000</v>
      </c>
      <c r="AP61" s="331"/>
      <c r="AQ61" s="278">
        <f t="shared" si="7"/>
        <v>0</v>
      </c>
      <c r="AR61" s="331">
        <f>IFERROR((VLOOKUP(B61,'АПП Баз'!$B$8:$Y$72,24,FALSE)*1000),0)</f>
        <v>0</v>
      </c>
      <c r="AS61" s="334">
        <f t="shared" si="9"/>
        <v>0</v>
      </c>
    </row>
    <row r="62" spans="1:45" ht="15" customHeight="1" x14ac:dyDescent="0.25">
      <c r="A62" s="261">
        <v>59</v>
      </c>
      <c r="B62" s="437">
        <v>392880</v>
      </c>
      <c r="C62" s="6" t="s">
        <v>209</v>
      </c>
      <c r="D62" s="262"/>
      <c r="E62" s="263"/>
      <c r="F62" s="264"/>
      <c r="G62" s="262"/>
      <c r="H62" s="264"/>
      <c r="I62" s="262"/>
      <c r="J62" s="264"/>
      <c r="K62" s="262"/>
      <c r="L62" s="265">
        <v>0</v>
      </c>
      <c r="M62" s="266">
        <v>0</v>
      </c>
      <c r="N62" s="264"/>
      <c r="O62" s="262"/>
      <c r="P62" s="267">
        <v>0</v>
      </c>
      <c r="Q62" s="265">
        <v>0</v>
      </c>
      <c r="R62" s="266">
        <v>0</v>
      </c>
      <c r="S62" s="264"/>
      <c r="T62" s="262"/>
      <c r="U62" s="268">
        <v>0</v>
      </c>
      <c r="V62" s="269">
        <v>0</v>
      </c>
      <c r="W62" s="268">
        <v>0</v>
      </c>
      <c r="X62" s="269">
        <v>0</v>
      </c>
      <c r="Y62" s="268">
        <v>0</v>
      </c>
      <c r="Z62" s="269">
        <v>0</v>
      </c>
      <c r="AA62" s="268">
        <v>0</v>
      </c>
      <c r="AB62" s="269">
        <v>0</v>
      </c>
      <c r="AC62" s="270">
        <v>0</v>
      </c>
      <c r="AD62" s="271">
        <v>0</v>
      </c>
      <c r="AE62" s="270">
        <v>0</v>
      </c>
      <c r="AF62" s="271">
        <v>0</v>
      </c>
      <c r="AG62" s="270">
        <v>0</v>
      </c>
      <c r="AH62" s="271">
        <v>0</v>
      </c>
      <c r="AI62" s="272">
        <f t="shared" si="8"/>
        <v>0</v>
      </c>
      <c r="AJ62" s="272">
        <f t="shared" si="0"/>
        <v>0</v>
      </c>
      <c r="AK62" s="273">
        <f t="shared" si="5"/>
        <v>0</v>
      </c>
      <c r="AL62" s="274">
        <f t="shared" si="5"/>
        <v>0</v>
      </c>
      <c r="AM62" s="275">
        <f t="shared" si="1"/>
        <v>0</v>
      </c>
      <c r="AN62" s="276">
        <f t="shared" si="6"/>
        <v>0</v>
      </c>
      <c r="AO62" s="277">
        <f t="shared" si="2"/>
        <v>0</v>
      </c>
      <c r="AP62" s="331"/>
      <c r="AQ62" s="278">
        <f t="shared" si="7"/>
        <v>0</v>
      </c>
      <c r="AR62" s="331">
        <f>IFERROR((VLOOKUP(B62,'АПП Баз'!$B$8:$Y$72,24,FALSE)*1000),0)</f>
        <v>0</v>
      </c>
      <c r="AS62" s="334">
        <f t="shared" si="9"/>
        <v>0</v>
      </c>
    </row>
    <row r="63" spans="1:45" s="289" customFormat="1" ht="15" customHeight="1" x14ac:dyDescent="0.25">
      <c r="A63" s="261">
        <v>60</v>
      </c>
      <c r="B63" s="216">
        <v>390782</v>
      </c>
      <c r="C63" s="160" t="s">
        <v>193</v>
      </c>
      <c r="D63" s="287"/>
      <c r="E63" s="287"/>
      <c r="F63" s="288"/>
      <c r="G63" s="287"/>
      <c r="H63" s="288"/>
      <c r="I63" s="287"/>
      <c r="J63" s="288"/>
      <c r="K63" s="287"/>
      <c r="L63" s="265"/>
      <c r="M63" s="266"/>
      <c r="N63" s="288">
        <v>829</v>
      </c>
      <c r="O63" s="287">
        <v>71417904</v>
      </c>
      <c r="P63" s="267">
        <v>0</v>
      </c>
      <c r="Q63" s="265">
        <v>0</v>
      </c>
      <c r="R63" s="266">
        <v>0</v>
      </c>
      <c r="S63" s="288"/>
      <c r="T63" s="287"/>
      <c r="U63" s="268">
        <v>0</v>
      </c>
      <c r="V63" s="269">
        <v>0</v>
      </c>
      <c r="W63" s="268">
        <v>0</v>
      </c>
      <c r="X63" s="269">
        <v>0</v>
      </c>
      <c r="Y63" s="268">
        <v>0</v>
      </c>
      <c r="Z63" s="269">
        <v>0</v>
      </c>
      <c r="AA63" s="268">
        <v>0</v>
      </c>
      <c r="AB63" s="269">
        <v>0</v>
      </c>
      <c r="AC63" s="284"/>
      <c r="AD63" s="285"/>
      <c r="AE63" s="284"/>
      <c r="AF63" s="285"/>
      <c r="AG63" s="284"/>
      <c r="AH63" s="285"/>
      <c r="AI63" s="272">
        <f t="shared" si="4"/>
        <v>829</v>
      </c>
      <c r="AJ63" s="272">
        <f t="shared" si="0"/>
        <v>0</v>
      </c>
      <c r="AK63" s="273">
        <f t="shared" si="5"/>
        <v>0</v>
      </c>
      <c r="AL63" s="274">
        <f t="shared" si="5"/>
        <v>0</v>
      </c>
      <c r="AM63" s="275">
        <f t="shared" si="1"/>
        <v>71417904</v>
      </c>
      <c r="AN63" s="276">
        <f t="shared" si="6"/>
        <v>71417904</v>
      </c>
      <c r="AO63" s="277">
        <f t="shared" si="2"/>
        <v>71417904</v>
      </c>
      <c r="AP63" s="331"/>
      <c r="AQ63" s="278">
        <f t="shared" si="7"/>
        <v>71417904</v>
      </c>
      <c r="AR63" s="331">
        <f>IFERROR((VLOOKUP(B63,'АПП Баз'!$B$8:$Y$72,24,FALSE)*1000),0)</f>
        <v>71400021.280000001</v>
      </c>
      <c r="AS63" s="334">
        <f t="shared" si="9"/>
        <v>17882.719999998808</v>
      </c>
    </row>
    <row r="64" spans="1:45" s="289" customFormat="1" ht="15" customHeight="1" x14ac:dyDescent="0.25">
      <c r="A64" s="261">
        <v>61</v>
      </c>
      <c r="B64" s="216">
        <v>392080</v>
      </c>
      <c r="C64" s="160" t="s">
        <v>194</v>
      </c>
      <c r="D64" s="287"/>
      <c r="E64" s="287"/>
      <c r="F64" s="288"/>
      <c r="G64" s="287"/>
      <c r="H64" s="288"/>
      <c r="I64" s="287"/>
      <c r="J64" s="288"/>
      <c r="K64" s="287"/>
      <c r="L64" s="265"/>
      <c r="M64" s="266"/>
      <c r="N64" s="288">
        <v>431</v>
      </c>
      <c r="O64" s="287">
        <v>43053226.920000002</v>
      </c>
      <c r="P64" s="267">
        <v>0</v>
      </c>
      <c r="Q64" s="265">
        <v>0</v>
      </c>
      <c r="R64" s="266">
        <v>0</v>
      </c>
      <c r="S64" s="288"/>
      <c r="T64" s="287"/>
      <c r="U64" s="268">
        <v>0</v>
      </c>
      <c r="V64" s="269">
        <v>0</v>
      </c>
      <c r="W64" s="268">
        <v>0</v>
      </c>
      <c r="X64" s="269">
        <v>0</v>
      </c>
      <c r="Y64" s="268">
        <v>0</v>
      </c>
      <c r="Z64" s="269">
        <v>0</v>
      </c>
      <c r="AA64" s="268">
        <v>0</v>
      </c>
      <c r="AB64" s="269">
        <v>0</v>
      </c>
      <c r="AC64" s="284"/>
      <c r="AD64" s="285"/>
      <c r="AE64" s="284"/>
      <c r="AF64" s="285"/>
      <c r="AG64" s="284"/>
      <c r="AH64" s="285"/>
      <c r="AI64" s="272">
        <f t="shared" si="4"/>
        <v>431</v>
      </c>
      <c r="AJ64" s="272">
        <f t="shared" si="0"/>
        <v>0</v>
      </c>
      <c r="AK64" s="273">
        <f t="shared" si="5"/>
        <v>0</v>
      </c>
      <c r="AL64" s="274">
        <f t="shared" si="5"/>
        <v>0</v>
      </c>
      <c r="AM64" s="275">
        <f t="shared" si="1"/>
        <v>43053226.920000002</v>
      </c>
      <c r="AN64" s="276">
        <f t="shared" si="6"/>
        <v>43053226.920000002</v>
      </c>
      <c r="AO64" s="277">
        <f t="shared" si="2"/>
        <v>43053226.920000002</v>
      </c>
      <c r="AP64" s="331"/>
      <c r="AQ64" s="278">
        <f t="shared" si="7"/>
        <v>43053226.920000002</v>
      </c>
      <c r="AR64" s="331">
        <f>IFERROR((VLOOKUP(B64,'АПП Баз'!$B$8:$Y$72,24,FALSE)*1000),0)</f>
        <v>48241745.949999996</v>
      </c>
      <c r="AS64" s="334">
        <f t="shared" si="9"/>
        <v>-5188519.0299999937</v>
      </c>
    </row>
    <row r="65" spans="1:45" s="289" customFormat="1" ht="15" customHeight="1" x14ac:dyDescent="0.25">
      <c r="A65" s="261">
        <v>62</v>
      </c>
      <c r="B65" s="216">
        <v>392160</v>
      </c>
      <c r="C65" s="160" t="s">
        <v>195</v>
      </c>
      <c r="D65" s="287"/>
      <c r="E65" s="287"/>
      <c r="F65" s="288"/>
      <c r="G65" s="287"/>
      <c r="H65" s="288"/>
      <c r="I65" s="287"/>
      <c r="J65" s="288"/>
      <c r="K65" s="287"/>
      <c r="L65" s="265"/>
      <c r="M65" s="266"/>
      <c r="N65" s="288">
        <v>2829</v>
      </c>
      <c r="O65" s="287">
        <v>249040823.31</v>
      </c>
      <c r="P65" s="267">
        <v>0</v>
      </c>
      <c r="Q65" s="265">
        <v>0</v>
      </c>
      <c r="R65" s="266">
        <v>0</v>
      </c>
      <c r="S65" s="288"/>
      <c r="T65" s="287"/>
      <c r="U65" s="268">
        <v>0</v>
      </c>
      <c r="V65" s="269">
        <v>0</v>
      </c>
      <c r="W65" s="268">
        <v>0</v>
      </c>
      <c r="X65" s="269">
        <v>0</v>
      </c>
      <c r="Y65" s="268">
        <v>0</v>
      </c>
      <c r="Z65" s="269">
        <v>0</v>
      </c>
      <c r="AA65" s="268">
        <v>0</v>
      </c>
      <c r="AB65" s="269">
        <v>0</v>
      </c>
      <c r="AC65" s="284"/>
      <c r="AD65" s="285"/>
      <c r="AE65" s="284"/>
      <c r="AF65" s="285"/>
      <c r="AG65" s="284"/>
      <c r="AH65" s="285"/>
      <c r="AI65" s="272">
        <f t="shared" si="4"/>
        <v>2829</v>
      </c>
      <c r="AJ65" s="272">
        <f t="shared" si="0"/>
        <v>0</v>
      </c>
      <c r="AK65" s="273">
        <f t="shared" si="5"/>
        <v>0</v>
      </c>
      <c r="AL65" s="274">
        <f t="shared" si="5"/>
        <v>0</v>
      </c>
      <c r="AM65" s="275">
        <f t="shared" si="1"/>
        <v>249040823.31</v>
      </c>
      <c r="AN65" s="276">
        <f t="shared" si="6"/>
        <v>249040823.31</v>
      </c>
      <c r="AO65" s="277">
        <f t="shared" si="2"/>
        <v>249040823.31</v>
      </c>
      <c r="AP65" s="331"/>
      <c r="AQ65" s="278">
        <f t="shared" si="7"/>
        <v>249040823.31</v>
      </c>
      <c r="AR65" s="331">
        <f>IFERROR((VLOOKUP(B65,'АПП Баз'!$B$8:$Y$72,24,FALSE)*1000),0)</f>
        <v>252727514.64999998</v>
      </c>
      <c r="AS65" s="334">
        <f t="shared" si="9"/>
        <v>-3686691.3399999738</v>
      </c>
    </row>
    <row r="66" spans="1:45" ht="15" customHeight="1" x14ac:dyDescent="0.25">
      <c r="A66" s="261">
        <v>63</v>
      </c>
      <c r="B66" s="5">
        <v>392400</v>
      </c>
      <c r="C66" s="6" t="s">
        <v>51</v>
      </c>
      <c r="D66" s="262"/>
      <c r="E66" s="263"/>
      <c r="F66" s="264"/>
      <c r="G66" s="262"/>
      <c r="H66" s="264"/>
      <c r="I66" s="262"/>
      <c r="J66" s="264"/>
      <c r="K66" s="262"/>
      <c r="L66" s="265">
        <v>900</v>
      </c>
      <c r="M66" s="266">
        <v>1191861</v>
      </c>
      <c r="N66" s="264"/>
      <c r="O66" s="262"/>
      <c r="P66" s="267">
        <v>0</v>
      </c>
      <c r="Q66" s="265">
        <v>30</v>
      </c>
      <c r="R66" s="266">
        <v>9444.9</v>
      </c>
      <c r="S66" s="264"/>
      <c r="T66" s="262"/>
      <c r="U66" s="268">
        <v>0</v>
      </c>
      <c r="V66" s="269">
        <v>0</v>
      </c>
      <c r="W66" s="268">
        <v>0</v>
      </c>
      <c r="X66" s="269">
        <v>0</v>
      </c>
      <c r="Y66" s="268">
        <v>0</v>
      </c>
      <c r="Z66" s="269">
        <v>0</v>
      </c>
      <c r="AA66" s="268">
        <v>0</v>
      </c>
      <c r="AB66" s="269">
        <v>0</v>
      </c>
      <c r="AC66" s="284"/>
      <c r="AD66" s="285"/>
      <c r="AE66" s="284"/>
      <c r="AF66" s="285"/>
      <c r="AG66" s="284"/>
      <c r="AH66" s="285"/>
      <c r="AI66" s="272">
        <f t="shared" si="4"/>
        <v>900</v>
      </c>
      <c r="AJ66" s="272">
        <f t="shared" si="0"/>
        <v>30</v>
      </c>
      <c r="AK66" s="273">
        <f t="shared" si="5"/>
        <v>0</v>
      </c>
      <c r="AL66" s="274">
        <f t="shared" si="5"/>
        <v>0</v>
      </c>
      <c r="AM66" s="275">
        <f t="shared" si="1"/>
        <v>1201305.8999999999</v>
      </c>
      <c r="AN66" s="276">
        <f t="shared" si="6"/>
        <v>1201305.8999999999</v>
      </c>
      <c r="AO66" s="277">
        <f t="shared" si="2"/>
        <v>1201305.8999999999</v>
      </c>
      <c r="AP66" s="331"/>
      <c r="AQ66" s="278">
        <f t="shared" si="7"/>
        <v>1201305.8999999999</v>
      </c>
      <c r="AR66" s="331">
        <f>IFERROR((VLOOKUP(B66,'АПП Баз'!$B$8:$Y$72,24,FALSE)*1000),0)</f>
        <v>0</v>
      </c>
      <c r="AS66" s="334">
        <f t="shared" si="9"/>
        <v>1201305.8999999999</v>
      </c>
    </row>
    <row r="67" spans="1:45" ht="15" customHeight="1" x14ac:dyDescent="0.25">
      <c r="A67" s="261">
        <v>64</v>
      </c>
      <c r="B67" s="5">
        <v>391492</v>
      </c>
      <c r="C67" s="6" t="s">
        <v>196</v>
      </c>
      <c r="D67" s="262"/>
      <c r="E67" s="263"/>
      <c r="F67" s="264"/>
      <c r="G67" s="262"/>
      <c r="H67" s="264"/>
      <c r="I67" s="262"/>
      <c r="J67" s="264"/>
      <c r="K67" s="262"/>
      <c r="L67" s="265">
        <v>0</v>
      </c>
      <c r="M67" s="266">
        <v>0</v>
      </c>
      <c r="N67" s="264"/>
      <c r="O67" s="262"/>
      <c r="P67" s="267">
        <v>0</v>
      </c>
      <c r="Q67" s="265">
        <v>0</v>
      </c>
      <c r="R67" s="266">
        <v>0</v>
      </c>
      <c r="S67" s="264"/>
      <c r="T67" s="262"/>
      <c r="U67" s="268">
        <v>0</v>
      </c>
      <c r="V67" s="269">
        <v>0</v>
      </c>
      <c r="W67" s="268">
        <v>0</v>
      </c>
      <c r="X67" s="269">
        <v>0</v>
      </c>
      <c r="Y67" s="268">
        <v>0</v>
      </c>
      <c r="Z67" s="269">
        <v>0</v>
      </c>
      <c r="AA67" s="268">
        <v>0</v>
      </c>
      <c r="AB67" s="269">
        <v>0</v>
      </c>
      <c r="AC67" s="284"/>
      <c r="AD67" s="285"/>
      <c r="AE67" s="284"/>
      <c r="AF67" s="285"/>
      <c r="AG67" s="284"/>
      <c r="AH67" s="285"/>
      <c r="AI67" s="272">
        <f t="shared" si="4"/>
        <v>0</v>
      </c>
      <c r="AJ67" s="272">
        <f t="shared" si="0"/>
        <v>0</v>
      </c>
      <c r="AK67" s="273">
        <f t="shared" si="5"/>
        <v>0</v>
      </c>
      <c r="AL67" s="274">
        <f t="shared" si="5"/>
        <v>0</v>
      </c>
      <c r="AM67" s="275">
        <f t="shared" si="1"/>
        <v>0</v>
      </c>
      <c r="AN67" s="276">
        <f t="shared" si="6"/>
        <v>0</v>
      </c>
      <c r="AO67" s="277">
        <f t="shared" si="2"/>
        <v>0</v>
      </c>
      <c r="AP67" s="331"/>
      <c r="AQ67" s="278">
        <f t="shared" si="7"/>
        <v>0</v>
      </c>
      <c r="AR67" s="331">
        <f>IFERROR((VLOOKUP(B67,'АПП Баз'!$B$8:$Y$72,24,FALSE)*1000),0)</f>
        <v>0</v>
      </c>
      <c r="AS67" s="334">
        <f t="shared" si="9"/>
        <v>0</v>
      </c>
    </row>
    <row r="68" spans="1:45" ht="15" customHeight="1" x14ac:dyDescent="0.25">
      <c r="A68" s="261">
        <v>65</v>
      </c>
      <c r="B68" s="5">
        <v>392320</v>
      </c>
      <c r="C68" s="6" t="s">
        <v>52</v>
      </c>
      <c r="D68" s="262"/>
      <c r="E68" s="263"/>
      <c r="F68" s="264"/>
      <c r="G68" s="262"/>
      <c r="H68" s="264"/>
      <c r="I68" s="262"/>
      <c r="J68" s="264"/>
      <c r="K68" s="262"/>
      <c r="L68" s="265">
        <v>750</v>
      </c>
      <c r="M68" s="266">
        <v>993217.5</v>
      </c>
      <c r="N68" s="264"/>
      <c r="O68" s="262"/>
      <c r="P68" s="267">
        <v>0</v>
      </c>
      <c r="Q68" s="265">
        <v>0</v>
      </c>
      <c r="R68" s="266">
        <v>0</v>
      </c>
      <c r="S68" s="264"/>
      <c r="T68" s="262"/>
      <c r="U68" s="268">
        <v>0</v>
      </c>
      <c r="V68" s="269">
        <v>0</v>
      </c>
      <c r="W68" s="268">
        <v>0</v>
      </c>
      <c r="X68" s="269">
        <v>0</v>
      </c>
      <c r="Y68" s="268">
        <v>0</v>
      </c>
      <c r="Z68" s="269">
        <v>0</v>
      </c>
      <c r="AA68" s="268">
        <v>0</v>
      </c>
      <c r="AB68" s="269">
        <v>0</v>
      </c>
      <c r="AC68" s="284"/>
      <c r="AD68" s="285"/>
      <c r="AE68" s="284"/>
      <c r="AF68" s="285"/>
      <c r="AG68" s="284"/>
      <c r="AH68" s="285"/>
      <c r="AI68" s="272">
        <f t="shared" si="4"/>
        <v>750</v>
      </c>
      <c r="AJ68" s="272">
        <f t="shared" ref="AJ68:AJ88" si="10">Q68+S68+U68+W68+Y68+AA68+AE68+AG68</f>
        <v>0</v>
      </c>
      <c r="AK68" s="273">
        <f t="shared" si="5"/>
        <v>0</v>
      </c>
      <c r="AL68" s="274">
        <f t="shared" si="5"/>
        <v>0</v>
      </c>
      <c r="AM68" s="275">
        <f t="shared" ref="AM68:AM88" si="11">R68+M68+O68+P68+T68+V68+X68+Z68+AB68+AD68+AF68+AH68</f>
        <v>993217.5</v>
      </c>
      <c r="AN68" s="276">
        <f t="shared" si="6"/>
        <v>993217.5</v>
      </c>
      <c r="AO68" s="277">
        <f t="shared" ref="AO68:AO88" si="12">AM68-P68</f>
        <v>993217.5</v>
      </c>
      <c r="AP68" s="331"/>
      <c r="AQ68" s="278">
        <f t="shared" si="7"/>
        <v>993217.5</v>
      </c>
      <c r="AR68" s="331">
        <f>IFERROR((VLOOKUP(B68,'АПП Баз'!$B$8:$Y$72,24,FALSE)*1000),0)</f>
        <v>869304.98</v>
      </c>
      <c r="AS68" s="334">
        <f t="shared" si="9"/>
        <v>123912.52000000002</v>
      </c>
    </row>
    <row r="69" spans="1:45" ht="15" customHeight="1" x14ac:dyDescent="0.25">
      <c r="A69" s="261">
        <v>66</v>
      </c>
      <c r="B69" s="5">
        <v>391310</v>
      </c>
      <c r="C69" s="6" t="s">
        <v>53</v>
      </c>
      <c r="D69" s="262"/>
      <c r="E69" s="263"/>
      <c r="F69" s="264"/>
      <c r="G69" s="262"/>
      <c r="H69" s="264"/>
      <c r="I69" s="262"/>
      <c r="J69" s="264"/>
      <c r="K69" s="262"/>
      <c r="L69" s="265">
        <v>100</v>
      </c>
      <c r="M69" s="266">
        <v>132429</v>
      </c>
      <c r="N69" s="264"/>
      <c r="O69" s="262"/>
      <c r="P69" s="267">
        <v>0</v>
      </c>
      <c r="Q69" s="265">
        <v>1000</v>
      </c>
      <c r="R69" s="266">
        <v>314830</v>
      </c>
      <c r="S69" s="264"/>
      <c r="T69" s="262"/>
      <c r="U69" s="268">
        <v>0</v>
      </c>
      <c r="V69" s="269">
        <v>0</v>
      </c>
      <c r="W69" s="268">
        <v>0</v>
      </c>
      <c r="X69" s="269">
        <v>0</v>
      </c>
      <c r="Y69" s="268">
        <v>0</v>
      </c>
      <c r="Z69" s="269">
        <v>0</v>
      </c>
      <c r="AA69" s="268">
        <v>0</v>
      </c>
      <c r="AB69" s="269">
        <v>0</v>
      </c>
      <c r="AC69" s="284"/>
      <c r="AD69" s="285"/>
      <c r="AE69" s="284"/>
      <c r="AF69" s="285"/>
      <c r="AG69" s="284"/>
      <c r="AH69" s="285"/>
      <c r="AI69" s="272">
        <f t="shared" ref="AI69:AI88" si="13">L69+N69</f>
        <v>100</v>
      </c>
      <c r="AJ69" s="272">
        <f t="shared" si="10"/>
        <v>1000</v>
      </c>
      <c r="AK69" s="273">
        <f t="shared" ref="AK69:AL88" si="14">U69+Y69+AA69</f>
        <v>0</v>
      </c>
      <c r="AL69" s="274">
        <f t="shared" si="14"/>
        <v>0</v>
      </c>
      <c r="AM69" s="275">
        <f t="shared" si="11"/>
        <v>447259</v>
      </c>
      <c r="AN69" s="276">
        <f t="shared" ref="AN69:AN88" si="15">D69+E69+AM69</f>
        <v>447259</v>
      </c>
      <c r="AO69" s="277">
        <f t="shared" si="12"/>
        <v>447259</v>
      </c>
      <c r="AP69" s="331"/>
      <c r="AQ69" s="278">
        <f t="shared" ref="AQ69:AQ88" si="16">AN69-AH69-AF69-AD69</f>
        <v>447259</v>
      </c>
      <c r="AR69" s="331">
        <f>IFERROR((VLOOKUP(B69,'АПП Баз'!$B$8:$Y$72,24,FALSE)*1000),0)</f>
        <v>392503.32</v>
      </c>
      <c r="AS69" s="334">
        <f t="shared" si="9"/>
        <v>54755.679999999993</v>
      </c>
    </row>
    <row r="70" spans="1:45" ht="15" customHeight="1" x14ac:dyDescent="0.25">
      <c r="A70" s="261">
        <v>67</v>
      </c>
      <c r="B70" s="437">
        <v>392870</v>
      </c>
      <c r="C70" s="6" t="s">
        <v>197</v>
      </c>
      <c r="D70" s="262"/>
      <c r="E70" s="263"/>
      <c r="F70" s="264"/>
      <c r="G70" s="262"/>
      <c r="H70" s="264"/>
      <c r="I70" s="262"/>
      <c r="J70" s="264"/>
      <c r="K70" s="262"/>
      <c r="L70" s="265">
        <v>0</v>
      </c>
      <c r="M70" s="266">
        <v>0</v>
      </c>
      <c r="N70" s="264"/>
      <c r="O70" s="262"/>
      <c r="P70" s="267">
        <v>0</v>
      </c>
      <c r="Q70" s="265">
        <v>0</v>
      </c>
      <c r="R70" s="266">
        <v>0</v>
      </c>
      <c r="S70" s="264"/>
      <c r="T70" s="262"/>
      <c r="U70" s="268">
        <v>0</v>
      </c>
      <c r="V70" s="269">
        <v>0</v>
      </c>
      <c r="W70" s="268">
        <v>0</v>
      </c>
      <c r="X70" s="269">
        <v>0</v>
      </c>
      <c r="Y70" s="268">
        <v>0</v>
      </c>
      <c r="Z70" s="269">
        <v>0</v>
      </c>
      <c r="AA70" s="268">
        <v>0</v>
      </c>
      <c r="AB70" s="269">
        <v>0</v>
      </c>
      <c r="AC70" s="284"/>
      <c r="AD70" s="285"/>
      <c r="AE70" s="284"/>
      <c r="AF70" s="285"/>
      <c r="AG70" s="284"/>
      <c r="AH70" s="285"/>
      <c r="AI70" s="272">
        <f t="shared" si="13"/>
        <v>0</v>
      </c>
      <c r="AJ70" s="272">
        <f t="shared" si="10"/>
        <v>0</v>
      </c>
      <c r="AK70" s="273">
        <f t="shared" si="14"/>
        <v>0</v>
      </c>
      <c r="AL70" s="274">
        <f t="shared" si="14"/>
        <v>0</v>
      </c>
      <c r="AM70" s="275">
        <f t="shared" si="11"/>
        <v>0</v>
      </c>
      <c r="AN70" s="276">
        <f t="shared" si="15"/>
        <v>0</v>
      </c>
      <c r="AO70" s="277">
        <f t="shared" si="12"/>
        <v>0</v>
      </c>
      <c r="AP70" s="331"/>
      <c r="AQ70" s="278">
        <f t="shared" si="16"/>
        <v>0</v>
      </c>
      <c r="AR70" s="331">
        <f>IFERROR((VLOOKUP(B70,'АПП Баз'!$B$8:$Y$72,24,FALSE)*1000),0)</f>
        <v>0</v>
      </c>
      <c r="AS70" s="334">
        <f t="shared" si="9"/>
        <v>0</v>
      </c>
    </row>
    <row r="71" spans="1:45" ht="15" customHeight="1" x14ac:dyDescent="0.25">
      <c r="A71" s="261">
        <v>68</v>
      </c>
      <c r="B71" s="5">
        <v>391930</v>
      </c>
      <c r="C71" s="6" t="s">
        <v>198</v>
      </c>
      <c r="D71" s="262"/>
      <c r="E71" s="263"/>
      <c r="F71" s="264"/>
      <c r="G71" s="262"/>
      <c r="H71" s="264"/>
      <c r="I71" s="262"/>
      <c r="J71" s="264"/>
      <c r="K71" s="262"/>
      <c r="L71" s="265">
        <v>0</v>
      </c>
      <c r="M71" s="266">
        <v>0</v>
      </c>
      <c r="N71" s="264"/>
      <c r="O71" s="262"/>
      <c r="P71" s="267">
        <v>0</v>
      </c>
      <c r="Q71" s="265">
        <v>0</v>
      </c>
      <c r="R71" s="266">
        <v>0</v>
      </c>
      <c r="S71" s="264"/>
      <c r="T71" s="262"/>
      <c r="U71" s="268">
        <v>0</v>
      </c>
      <c r="V71" s="269">
        <v>0</v>
      </c>
      <c r="W71" s="268">
        <v>0</v>
      </c>
      <c r="X71" s="269">
        <v>0</v>
      </c>
      <c r="Y71" s="268">
        <v>0</v>
      </c>
      <c r="Z71" s="269">
        <v>0</v>
      </c>
      <c r="AA71" s="268">
        <v>0</v>
      </c>
      <c r="AB71" s="269">
        <v>0</v>
      </c>
      <c r="AC71" s="284"/>
      <c r="AD71" s="285"/>
      <c r="AE71" s="284"/>
      <c r="AF71" s="285"/>
      <c r="AG71" s="284"/>
      <c r="AH71" s="285"/>
      <c r="AI71" s="272">
        <f t="shared" si="13"/>
        <v>0</v>
      </c>
      <c r="AJ71" s="272">
        <f t="shared" si="10"/>
        <v>0</v>
      </c>
      <c r="AK71" s="273">
        <f t="shared" si="14"/>
        <v>0</v>
      </c>
      <c r="AL71" s="274">
        <f t="shared" si="14"/>
        <v>0</v>
      </c>
      <c r="AM71" s="275">
        <f t="shared" si="11"/>
        <v>0</v>
      </c>
      <c r="AN71" s="276">
        <f t="shared" si="15"/>
        <v>0</v>
      </c>
      <c r="AO71" s="277">
        <f t="shared" si="12"/>
        <v>0</v>
      </c>
      <c r="AP71" s="331"/>
      <c r="AQ71" s="278">
        <f t="shared" si="16"/>
        <v>0</v>
      </c>
      <c r="AR71" s="331">
        <f>IFERROR((VLOOKUP(B71,'АПП Баз'!$B$8:$Y$72,24,FALSE)*1000),0)</f>
        <v>2996157.9499999867</v>
      </c>
      <c r="AS71" s="334">
        <f t="shared" si="9"/>
        <v>-2996157.9499999867</v>
      </c>
    </row>
    <row r="72" spans="1:45" ht="15" customHeight="1" x14ac:dyDescent="0.25">
      <c r="A72" s="261">
        <v>69</v>
      </c>
      <c r="B72" s="437">
        <v>392630</v>
      </c>
      <c r="C72" s="6" t="s">
        <v>199</v>
      </c>
      <c r="D72" s="262"/>
      <c r="E72" s="263"/>
      <c r="F72" s="264"/>
      <c r="G72" s="262"/>
      <c r="H72" s="264"/>
      <c r="I72" s="262"/>
      <c r="J72" s="264"/>
      <c r="K72" s="262"/>
      <c r="L72" s="265">
        <v>50</v>
      </c>
      <c r="M72" s="266">
        <v>66214.5</v>
      </c>
      <c r="N72" s="264"/>
      <c r="O72" s="262"/>
      <c r="P72" s="267">
        <v>0</v>
      </c>
      <c r="Q72" s="265">
        <v>30</v>
      </c>
      <c r="R72" s="266">
        <v>9444.9</v>
      </c>
      <c r="S72" s="264"/>
      <c r="T72" s="262"/>
      <c r="U72" s="268">
        <v>0</v>
      </c>
      <c r="V72" s="269">
        <v>0</v>
      </c>
      <c r="W72" s="268">
        <v>0</v>
      </c>
      <c r="X72" s="269">
        <v>0</v>
      </c>
      <c r="Y72" s="268">
        <v>0</v>
      </c>
      <c r="Z72" s="269">
        <v>0</v>
      </c>
      <c r="AA72" s="268">
        <v>0</v>
      </c>
      <c r="AB72" s="269">
        <v>0</v>
      </c>
      <c r="AC72" s="284"/>
      <c r="AD72" s="285"/>
      <c r="AE72" s="284"/>
      <c r="AF72" s="285"/>
      <c r="AG72" s="284"/>
      <c r="AH72" s="285"/>
      <c r="AI72" s="272">
        <f t="shared" si="13"/>
        <v>50</v>
      </c>
      <c r="AJ72" s="272">
        <f t="shared" si="10"/>
        <v>30</v>
      </c>
      <c r="AK72" s="273">
        <f t="shared" si="14"/>
        <v>0</v>
      </c>
      <c r="AL72" s="274">
        <f t="shared" si="14"/>
        <v>0</v>
      </c>
      <c r="AM72" s="275">
        <f t="shared" si="11"/>
        <v>75659.399999999994</v>
      </c>
      <c r="AN72" s="276">
        <f t="shared" si="15"/>
        <v>75659.399999999994</v>
      </c>
      <c r="AO72" s="277">
        <f t="shared" si="12"/>
        <v>75659.399999999994</v>
      </c>
      <c r="AP72" s="331"/>
      <c r="AQ72" s="278">
        <f t="shared" si="16"/>
        <v>75659.399999999994</v>
      </c>
      <c r="AR72" s="331">
        <f>IFERROR((VLOOKUP(B72,'АПП Баз'!$B$8:$Y$72,24,FALSE)*1000),0)</f>
        <v>0</v>
      </c>
      <c r="AS72" s="334">
        <f t="shared" si="9"/>
        <v>75659.399999999994</v>
      </c>
    </row>
    <row r="73" spans="1:45" ht="15" customHeight="1" x14ac:dyDescent="0.25">
      <c r="A73" s="261">
        <v>70</v>
      </c>
      <c r="B73" s="5">
        <v>392750</v>
      </c>
      <c r="C73" s="6" t="s">
        <v>65</v>
      </c>
      <c r="D73" s="262"/>
      <c r="E73" s="263"/>
      <c r="F73" s="264"/>
      <c r="G73" s="262"/>
      <c r="H73" s="264"/>
      <c r="I73" s="262"/>
      <c r="J73" s="264"/>
      <c r="K73" s="262"/>
      <c r="L73" s="265">
        <v>50</v>
      </c>
      <c r="M73" s="266">
        <v>66214.5</v>
      </c>
      <c r="N73" s="264"/>
      <c r="O73" s="262"/>
      <c r="P73" s="267">
        <v>0</v>
      </c>
      <c r="Q73" s="265">
        <v>0</v>
      </c>
      <c r="R73" s="266">
        <v>0</v>
      </c>
      <c r="S73" s="264"/>
      <c r="T73" s="262"/>
      <c r="U73" s="268">
        <v>0</v>
      </c>
      <c r="V73" s="269">
        <v>0</v>
      </c>
      <c r="W73" s="268">
        <v>0</v>
      </c>
      <c r="X73" s="269">
        <v>0</v>
      </c>
      <c r="Y73" s="268">
        <v>0</v>
      </c>
      <c r="Z73" s="269">
        <v>0</v>
      </c>
      <c r="AA73" s="268">
        <v>0</v>
      </c>
      <c r="AB73" s="269">
        <v>0</v>
      </c>
      <c r="AC73" s="284"/>
      <c r="AD73" s="285"/>
      <c r="AE73" s="284"/>
      <c r="AF73" s="285"/>
      <c r="AG73" s="284"/>
      <c r="AH73" s="285"/>
      <c r="AI73" s="272">
        <f t="shared" si="13"/>
        <v>50</v>
      </c>
      <c r="AJ73" s="272">
        <f t="shared" si="10"/>
        <v>0</v>
      </c>
      <c r="AK73" s="273">
        <f t="shared" si="14"/>
        <v>0</v>
      </c>
      <c r="AL73" s="274">
        <f t="shared" si="14"/>
        <v>0</v>
      </c>
      <c r="AM73" s="275">
        <f t="shared" si="11"/>
        <v>66214.5</v>
      </c>
      <c r="AN73" s="276">
        <f t="shared" si="15"/>
        <v>66214.5</v>
      </c>
      <c r="AO73" s="277">
        <f t="shared" si="12"/>
        <v>66214.5</v>
      </c>
      <c r="AP73" s="331"/>
      <c r="AQ73" s="278">
        <f t="shared" si="16"/>
        <v>66214.5</v>
      </c>
      <c r="AR73" s="331">
        <f>IFERROR((VLOOKUP(B73,'АПП Баз'!$B$8:$Y$72,24,FALSE)*1000),0)</f>
        <v>0</v>
      </c>
      <c r="AS73" s="334">
        <f t="shared" si="9"/>
        <v>66214.5</v>
      </c>
    </row>
    <row r="74" spans="1:45" ht="15" customHeight="1" x14ac:dyDescent="0.25">
      <c r="A74" s="261">
        <v>71</v>
      </c>
      <c r="B74" s="5">
        <v>392830</v>
      </c>
      <c r="C74" s="6" t="s">
        <v>200</v>
      </c>
      <c r="D74" s="262"/>
      <c r="E74" s="263"/>
      <c r="F74" s="264"/>
      <c r="G74" s="262"/>
      <c r="H74" s="264"/>
      <c r="I74" s="262"/>
      <c r="J74" s="264"/>
      <c r="K74" s="262"/>
      <c r="L74" s="265">
        <v>0</v>
      </c>
      <c r="M74" s="266">
        <v>0</v>
      </c>
      <c r="N74" s="264"/>
      <c r="O74" s="262"/>
      <c r="P74" s="267">
        <v>0</v>
      </c>
      <c r="Q74" s="265">
        <v>0</v>
      </c>
      <c r="R74" s="266">
        <v>0</v>
      </c>
      <c r="S74" s="264"/>
      <c r="T74" s="262"/>
      <c r="U74" s="268">
        <v>0</v>
      </c>
      <c r="V74" s="269">
        <v>0</v>
      </c>
      <c r="W74" s="268">
        <v>0</v>
      </c>
      <c r="X74" s="269">
        <v>0</v>
      </c>
      <c r="Y74" s="268">
        <v>0</v>
      </c>
      <c r="Z74" s="269">
        <v>0</v>
      </c>
      <c r="AA74" s="268">
        <v>0</v>
      </c>
      <c r="AB74" s="269">
        <v>0</v>
      </c>
      <c r="AC74" s="284"/>
      <c r="AD74" s="285"/>
      <c r="AE74" s="284"/>
      <c r="AF74" s="285"/>
      <c r="AG74" s="284"/>
      <c r="AH74" s="285"/>
      <c r="AI74" s="272">
        <f t="shared" si="13"/>
        <v>0</v>
      </c>
      <c r="AJ74" s="272">
        <f t="shared" si="10"/>
        <v>0</v>
      </c>
      <c r="AK74" s="273">
        <f t="shared" si="14"/>
        <v>0</v>
      </c>
      <c r="AL74" s="274">
        <f t="shared" si="14"/>
        <v>0</v>
      </c>
      <c r="AM74" s="275">
        <f t="shared" si="11"/>
        <v>0</v>
      </c>
      <c r="AN74" s="276">
        <f t="shared" si="15"/>
        <v>0</v>
      </c>
      <c r="AO74" s="277">
        <f t="shared" si="12"/>
        <v>0</v>
      </c>
      <c r="AP74" s="331"/>
      <c r="AQ74" s="278">
        <f t="shared" si="16"/>
        <v>0</v>
      </c>
      <c r="AR74" s="331">
        <f>IFERROR((VLOOKUP(B74,'АПП Баз'!$B$8:$Y$72,24,FALSE)*1000),0)</f>
        <v>0</v>
      </c>
      <c r="AS74" s="334">
        <f t="shared" si="9"/>
        <v>0</v>
      </c>
    </row>
    <row r="75" spans="1:45" ht="15" customHeight="1" x14ac:dyDescent="0.25">
      <c r="A75" s="261">
        <v>72</v>
      </c>
      <c r="B75" s="5">
        <v>390008</v>
      </c>
      <c r="C75" s="6" t="s">
        <v>201</v>
      </c>
      <c r="D75" s="262"/>
      <c r="E75" s="263"/>
      <c r="F75" s="264"/>
      <c r="G75" s="262"/>
      <c r="H75" s="264"/>
      <c r="I75" s="262"/>
      <c r="J75" s="264"/>
      <c r="K75" s="262"/>
      <c r="L75" s="265">
        <v>0</v>
      </c>
      <c r="M75" s="266">
        <v>0</v>
      </c>
      <c r="N75" s="264"/>
      <c r="O75" s="262"/>
      <c r="P75" s="267">
        <v>0</v>
      </c>
      <c r="Q75" s="265">
        <v>0</v>
      </c>
      <c r="R75" s="266">
        <v>0</v>
      </c>
      <c r="S75" s="264"/>
      <c r="T75" s="262"/>
      <c r="U75" s="268">
        <v>0</v>
      </c>
      <c r="V75" s="269">
        <v>0</v>
      </c>
      <c r="W75" s="268">
        <v>0</v>
      </c>
      <c r="X75" s="269">
        <v>0</v>
      </c>
      <c r="Y75" s="268">
        <v>0</v>
      </c>
      <c r="Z75" s="269">
        <v>0</v>
      </c>
      <c r="AA75" s="268">
        <v>0</v>
      </c>
      <c r="AB75" s="269">
        <v>0</v>
      </c>
      <c r="AC75" s="284"/>
      <c r="AD75" s="285"/>
      <c r="AE75" s="284"/>
      <c r="AF75" s="285"/>
      <c r="AG75" s="284"/>
      <c r="AH75" s="285"/>
      <c r="AI75" s="272">
        <f t="shared" si="13"/>
        <v>0</v>
      </c>
      <c r="AJ75" s="272">
        <f t="shared" si="10"/>
        <v>0</v>
      </c>
      <c r="AK75" s="273">
        <f t="shared" si="14"/>
        <v>0</v>
      </c>
      <c r="AL75" s="274">
        <f t="shared" si="14"/>
        <v>0</v>
      </c>
      <c r="AM75" s="275">
        <f t="shared" si="11"/>
        <v>0</v>
      </c>
      <c r="AN75" s="276">
        <f t="shared" si="15"/>
        <v>0</v>
      </c>
      <c r="AO75" s="277">
        <f t="shared" si="12"/>
        <v>0</v>
      </c>
      <c r="AP75" s="331"/>
      <c r="AQ75" s="278">
        <f t="shared" si="16"/>
        <v>0</v>
      </c>
      <c r="AR75" s="331">
        <f>IFERROR((VLOOKUP(B75,'АПП Баз'!$B$8:$Y$72,24,FALSE)*1000),0)</f>
        <v>0</v>
      </c>
      <c r="AS75" s="334">
        <f t="shared" si="9"/>
        <v>0</v>
      </c>
    </row>
    <row r="76" spans="1:45" ht="15" customHeight="1" x14ac:dyDescent="0.25">
      <c r="A76" s="261">
        <v>73</v>
      </c>
      <c r="B76" s="5">
        <v>391960</v>
      </c>
      <c r="C76" s="6" t="s">
        <v>66</v>
      </c>
      <c r="D76" s="262"/>
      <c r="E76" s="263"/>
      <c r="F76" s="264"/>
      <c r="G76" s="262"/>
      <c r="H76" s="264"/>
      <c r="I76" s="262"/>
      <c r="J76" s="264"/>
      <c r="K76" s="262"/>
      <c r="L76" s="265">
        <v>0</v>
      </c>
      <c r="M76" s="266">
        <v>0</v>
      </c>
      <c r="N76" s="264"/>
      <c r="O76" s="262"/>
      <c r="P76" s="267">
        <v>0</v>
      </c>
      <c r="Q76" s="265">
        <v>0</v>
      </c>
      <c r="R76" s="266">
        <v>0</v>
      </c>
      <c r="S76" s="264"/>
      <c r="T76" s="262"/>
      <c r="U76" s="268">
        <v>0</v>
      </c>
      <c r="V76" s="269">
        <v>0</v>
      </c>
      <c r="W76" s="268">
        <v>0</v>
      </c>
      <c r="X76" s="269">
        <v>0</v>
      </c>
      <c r="Y76" s="268">
        <v>0</v>
      </c>
      <c r="Z76" s="269">
        <v>0</v>
      </c>
      <c r="AA76" s="268">
        <v>0</v>
      </c>
      <c r="AB76" s="269">
        <v>0</v>
      </c>
      <c r="AC76" s="284"/>
      <c r="AD76" s="285"/>
      <c r="AE76" s="284"/>
      <c r="AF76" s="285"/>
      <c r="AG76" s="284"/>
      <c r="AH76" s="285"/>
      <c r="AI76" s="272">
        <f t="shared" si="13"/>
        <v>0</v>
      </c>
      <c r="AJ76" s="272">
        <f t="shared" si="10"/>
        <v>0</v>
      </c>
      <c r="AK76" s="273">
        <f t="shared" si="14"/>
        <v>0</v>
      </c>
      <c r="AL76" s="274">
        <f t="shared" si="14"/>
        <v>0</v>
      </c>
      <c r="AM76" s="275">
        <f t="shared" si="11"/>
        <v>0</v>
      </c>
      <c r="AN76" s="276">
        <f t="shared" si="15"/>
        <v>0</v>
      </c>
      <c r="AO76" s="277">
        <f t="shared" si="12"/>
        <v>0</v>
      </c>
      <c r="AP76" s="331"/>
      <c r="AQ76" s="278">
        <f t="shared" si="16"/>
        <v>0</v>
      </c>
      <c r="AR76" s="331">
        <f>IFERROR((VLOOKUP(B76,'АПП Баз'!$B$8:$Y$72,24,FALSE)*1000),0)</f>
        <v>6855482.8399995491</v>
      </c>
      <c r="AS76" s="334">
        <f t="shared" si="9"/>
        <v>-6855482.8399995491</v>
      </c>
    </row>
    <row r="77" spans="1:45" ht="15" customHeight="1" x14ac:dyDescent="0.25">
      <c r="A77" s="261">
        <v>74</v>
      </c>
      <c r="B77" s="437">
        <v>392910</v>
      </c>
      <c r="C77" s="6" t="s">
        <v>202</v>
      </c>
      <c r="D77" s="262"/>
      <c r="E77" s="263"/>
      <c r="F77" s="264"/>
      <c r="G77" s="262"/>
      <c r="H77" s="264"/>
      <c r="I77" s="262"/>
      <c r="J77" s="264"/>
      <c r="K77" s="262"/>
      <c r="L77" s="265">
        <v>50</v>
      </c>
      <c r="M77" s="266">
        <v>66214.5</v>
      </c>
      <c r="N77" s="264"/>
      <c r="O77" s="262"/>
      <c r="P77" s="267">
        <v>0</v>
      </c>
      <c r="Q77" s="265">
        <v>30</v>
      </c>
      <c r="R77" s="266">
        <v>9444.9</v>
      </c>
      <c r="S77" s="264"/>
      <c r="T77" s="262"/>
      <c r="U77" s="268">
        <v>0</v>
      </c>
      <c r="V77" s="269">
        <v>0</v>
      </c>
      <c r="W77" s="268">
        <v>0</v>
      </c>
      <c r="X77" s="269">
        <v>0</v>
      </c>
      <c r="Y77" s="268">
        <v>0</v>
      </c>
      <c r="Z77" s="269">
        <v>0</v>
      </c>
      <c r="AA77" s="268">
        <v>0</v>
      </c>
      <c r="AB77" s="269">
        <v>0</v>
      </c>
      <c r="AC77" s="284"/>
      <c r="AD77" s="285"/>
      <c r="AE77" s="284"/>
      <c r="AF77" s="285"/>
      <c r="AG77" s="284"/>
      <c r="AH77" s="285"/>
      <c r="AI77" s="272">
        <f>L77+N77</f>
        <v>50</v>
      </c>
      <c r="AJ77" s="272">
        <f t="shared" si="10"/>
        <v>30</v>
      </c>
      <c r="AK77" s="273">
        <f t="shared" si="14"/>
        <v>0</v>
      </c>
      <c r="AL77" s="274">
        <f t="shared" si="14"/>
        <v>0</v>
      </c>
      <c r="AM77" s="275">
        <f>R77+M77+O77+P77+T77+V77+X77+Z77+AB77+AD77+AF77+AH77</f>
        <v>75659.399999999994</v>
      </c>
      <c r="AN77" s="276">
        <f t="shared" si="15"/>
        <v>75659.399999999994</v>
      </c>
      <c r="AO77" s="277">
        <f t="shared" si="12"/>
        <v>75659.399999999994</v>
      </c>
      <c r="AP77" s="331"/>
      <c r="AQ77" s="278">
        <f>AN77-AH77-AF77-AD77</f>
        <v>75659.399999999994</v>
      </c>
      <c r="AR77" s="331">
        <f>IFERROR((VLOOKUP(B77,'АПП Баз'!$B$8:$Y$72,24,FALSE)*1000),0)</f>
        <v>0</v>
      </c>
      <c r="AS77" s="334">
        <f t="shared" si="9"/>
        <v>75659.399999999994</v>
      </c>
    </row>
    <row r="78" spans="1:45" ht="15" customHeight="1" x14ac:dyDescent="0.25">
      <c r="A78" s="261">
        <v>75</v>
      </c>
      <c r="B78" s="5">
        <v>391370</v>
      </c>
      <c r="C78" s="6" t="s">
        <v>73</v>
      </c>
      <c r="D78" s="262"/>
      <c r="E78" s="263"/>
      <c r="F78" s="264"/>
      <c r="G78" s="262"/>
      <c r="H78" s="264"/>
      <c r="I78" s="262"/>
      <c r="J78" s="264"/>
      <c r="K78" s="262"/>
      <c r="L78" s="265">
        <v>0</v>
      </c>
      <c r="M78" s="266">
        <v>0</v>
      </c>
      <c r="N78" s="264"/>
      <c r="O78" s="262"/>
      <c r="P78" s="267">
        <v>0</v>
      </c>
      <c r="Q78" s="265">
        <v>0</v>
      </c>
      <c r="R78" s="266">
        <v>0</v>
      </c>
      <c r="S78" s="264"/>
      <c r="T78" s="262"/>
      <c r="U78" s="268">
        <v>0</v>
      </c>
      <c r="V78" s="269">
        <v>0</v>
      </c>
      <c r="W78" s="268">
        <v>0</v>
      </c>
      <c r="X78" s="269">
        <v>0</v>
      </c>
      <c r="Y78" s="268">
        <v>0</v>
      </c>
      <c r="Z78" s="269">
        <v>0</v>
      </c>
      <c r="AA78" s="268">
        <v>0</v>
      </c>
      <c r="AB78" s="269">
        <v>0</v>
      </c>
      <c r="AC78" s="284"/>
      <c r="AD78" s="285"/>
      <c r="AE78" s="284"/>
      <c r="AF78" s="285"/>
      <c r="AG78" s="284"/>
      <c r="AH78" s="285"/>
      <c r="AI78" s="272">
        <f t="shared" si="13"/>
        <v>0</v>
      </c>
      <c r="AJ78" s="272">
        <f t="shared" si="10"/>
        <v>0</v>
      </c>
      <c r="AK78" s="273">
        <f t="shared" si="14"/>
        <v>0</v>
      </c>
      <c r="AL78" s="274">
        <f t="shared" si="14"/>
        <v>0</v>
      </c>
      <c r="AM78" s="275">
        <f t="shared" si="11"/>
        <v>0</v>
      </c>
      <c r="AN78" s="276">
        <f t="shared" si="15"/>
        <v>0</v>
      </c>
      <c r="AO78" s="277">
        <f t="shared" si="12"/>
        <v>0</v>
      </c>
      <c r="AP78" s="331"/>
      <c r="AQ78" s="278">
        <f t="shared" si="16"/>
        <v>0</v>
      </c>
      <c r="AR78" s="331">
        <f>IFERROR((VLOOKUP(B78,'АПП Баз'!$B$8:$Y$72,24,FALSE)*1000),0)</f>
        <v>2571850.42</v>
      </c>
      <c r="AS78" s="334">
        <f t="shared" si="9"/>
        <v>-2571850.42</v>
      </c>
    </row>
    <row r="79" spans="1:45" ht="15" customHeight="1" x14ac:dyDescent="0.25">
      <c r="A79" s="261">
        <v>76</v>
      </c>
      <c r="B79" s="5">
        <v>392470</v>
      </c>
      <c r="C79" s="6" t="s">
        <v>67</v>
      </c>
      <c r="D79" s="262"/>
      <c r="E79" s="263"/>
      <c r="F79" s="264"/>
      <c r="G79" s="262"/>
      <c r="H79" s="264"/>
      <c r="I79" s="262"/>
      <c r="J79" s="264"/>
      <c r="K79" s="262"/>
      <c r="L79" s="265">
        <v>0</v>
      </c>
      <c r="M79" s="266">
        <v>0</v>
      </c>
      <c r="N79" s="264"/>
      <c r="O79" s="262"/>
      <c r="P79" s="267">
        <v>0</v>
      </c>
      <c r="Q79" s="265">
        <v>0</v>
      </c>
      <c r="R79" s="266">
        <v>0</v>
      </c>
      <c r="S79" s="264"/>
      <c r="T79" s="262"/>
      <c r="U79" s="268">
        <v>0</v>
      </c>
      <c r="V79" s="269">
        <v>0</v>
      </c>
      <c r="W79" s="268">
        <v>0</v>
      </c>
      <c r="X79" s="269">
        <v>0</v>
      </c>
      <c r="Y79" s="268">
        <v>0</v>
      </c>
      <c r="Z79" s="269">
        <v>0</v>
      </c>
      <c r="AA79" s="268">
        <v>0</v>
      </c>
      <c r="AB79" s="269">
        <v>0</v>
      </c>
      <c r="AC79" s="284"/>
      <c r="AD79" s="285"/>
      <c r="AE79" s="284"/>
      <c r="AF79" s="285"/>
      <c r="AG79" s="284"/>
      <c r="AH79" s="285"/>
      <c r="AI79" s="272">
        <f t="shared" si="13"/>
        <v>0</v>
      </c>
      <c r="AJ79" s="272">
        <f t="shared" si="10"/>
        <v>0</v>
      </c>
      <c r="AK79" s="273">
        <f t="shared" si="14"/>
        <v>0</v>
      </c>
      <c r="AL79" s="274">
        <f t="shared" si="14"/>
        <v>0</v>
      </c>
      <c r="AM79" s="275">
        <f t="shared" si="11"/>
        <v>0</v>
      </c>
      <c r="AN79" s="276">
        <f t="shared" si="15"/>
        <v>0</v>
      </c>
      <c r="AO79" s="277">
        <f t="shared" si="12"/>
        <v>0</v>
      </c>
      <c r="AP79" s="331"/>
      <c r="AQ79" s="278">
        <f t="shared" si="16"/>
        <v>0</v>
      </c>
      <c r="AR79" s="331">
        <f>IFERROR((VLOOKUP(B79,'АПП Баз'!$B$8:$Y$72,24,FALSE)*1000),0)</f>
        <v>0</v>
      </c>
      <c r="AS79" s="334">
        <f t="shared" si="9"/>
        <v>0</v>
      </c>
    </row>
    <row r="80" spans="1:45" ht="15" customHeight="1" x14ac:dyDescent="0.25">
      <c r="A80" s="261">
        <v>77</v>
      </c>
      <c r="B80" s="5">
        <v>391970</v>
      </c>
      <c r="C80" s="6" t="s">
        <v>203</v>
      </c>
      <c r="D80" s="262"/>
      <c r="E80" s="263"/>
      <c r="F80" s="264"/>
      <c r="G80" s="262"/>
      <c r="H80" s="264"/>
      <c r="I80" s="262"/>
      <c r="J80" s="264"/>
      <c r="K80" s="262"/>
      <c r="L80" s="265">
        <v>0</v>
      </c>
      <c r="M80" s="266">
        <v>0</v>
      </c>
      <c r="N80" s="264"/>
      <c r="O80" s="262"/>
      <c r="P80" s="267">
        <v>0</v>
      </c>
      <c r="Q80" s="265">
        <v>0</v>
      </c>
      <c r="R80" s="266">
        <v>0</v>
      </c>
      <c r="S80" s="264"/>
      <c r="T80" s="262"/>
      <c r="U80" s="268">
        <v>0</v>
      </c>
      <c r="V80" s="269">
        <v>0</v>
      </c>
      <c r="W80" s="268">
        <v>0</v>
      </c>
      <c r="X80" s="269">
        <v>0</v>
      </c>
      <c r="Y80" s="268">
        <v>0</v>
      </c>
      <c r="Z80" s="269">
        <v>0</v>
      </c>
      <c r="AA80" s="268">
        <v>0</v>
      </c>
      <c r="AB80" s="269">
        <v>0</v>
      </c>
      <c r="AC80" s="284"/>
      <c r="AD80" s="285"/>
      <c r="AE80" s="284"/>
      <c r="AF80" s="285"/>
      <c r="AG80" s="284"/>
      <c r="AH80" s="285"/>
      <c r="AI80" s="272">
        <f t="shared" si="13"/>
        <v>0</v>
      </c>
      <c r="AJ80" s="272">
        <f t="shared" si="10"/>
        <v>0</v>
      </c>
      <c r="AK80" s="273">
        <f t="shared" si="14"/>
        <v>0</v>
      </c>
      <c r="AL80" s="274">
        <f t="shared" si="14"/>
        <v>0</v>
      </c>
      <c r="AM80" s="275">
        <f t="shared" si="11"/>
        <v>0</v>
      </c>
      <c r="AN80" s="276">
        <f t="shared" si="15"/>
        <v>0</v>
      </c>
      <c r="AO80" s="277">
        <f t="shared" si="12"/>
        <v>0</v>
      </c>
      <c r="AP80" s="331"/>
      <c r="AQ80" s="278">
        <f t="shared" si="16"/>
        <v>0</v>
      </c>
      <c r="AR80" s="331">
        <f>IFERROR((VLOOKUP(B80,'АПП Баз'!$B$8:$Y$72,24,FALSE)*1000),0)</f>
        <v>4487984.13</v>
      </c>
      <c r="AS80" s="334">
        <f t="shared" si="9"/>
        <v>-4487984.13</v>
      </c>
    </row>
    <row r="81" spans="1:45" ht="15" customHeight="1" x14ac:dyDescent="0.25">
      <c r="A81" s="261">
        <v>78</v>
      </c>
      <c r="B81" s="5">
        <v>392720</v>
      </c>
      <c r="C81" s="6" t="s">
        <v>69</v>
      </c>
      <c r="D81" s="262"/>
      <c r="E81" s="263"/>
      <c r="F81" s="264"/>
      <c r="G81" s="262"/>
      <c r="H81" s="264"/>
      <c r="I81" s="262"/>
      <c r="J81" s="264"/>
      <c r="K81" s="262"/>
      <c r="L81" s="265">
        <v>0</v>
      </c>
      <c r="M81" s="266">
        <v>0</v>
      </c>
      <c r="N81" s="264"/>
      <c r="O81" s="262"/>
      <c r="P81" s="267">
        <v>0</v>
      </c>
      <c r="Q81" s="265">
        <v>0</v>
      </c>
      <c r="R81" s="266">
        <v>0</v>
      </c>
      <c r="S81" s="264"/>
      <c r="T81" s="262"/>
      <c r="U81" s="268">
        <v>0</v>
      </c>
      <c r="V81" s="269">
        <v>0</v>
      </c>
      <c r="W81" s="268">
        <v>0</v>
      </c>
      <c r="X81" s="269">
        <v>0</v>
      </c>
      <c r="Y81" s="268">
        <v>0</v>
      </c>
      <c r="Z81" s="269">
        <v>0</v>
      </c>
      <c r="AA81" s="268">
        <v>0</v>
      </c>
      <c r="AB81" s="269">
        <v>0</v>
      </c>
      <c r="AC81" s="284"/>
      <c r="AD81" s="285"/>
      <c r="AE81" s="284"/>
      <c r="AF81" s="285"/>
      <c r="AG81" s="284"/>
      <c r="AH81" s="285"/>
      <c r="AI81" s="272">
        <f t="shared" si="13"/>
        <v>0</v>
      </c>
      <c r="AJ81" s="272">
        <f t="shared" si="10"/>
        <v>0</v>
      </c>
      <c r="AK81" s="273">
        <f t="shared" si="14"/>
        <v>0</v>
      </c>
      <c r="AL81" s="274">
        <f t="shared" si="14"/>
        <v>0</v>
      </c>
      <c r="AM81" s="275">
        <f t="shared" si="11"/>
        <v>0</v>
      </c>
      <c r="AN81" s="276">
        <f t="shared" si="15"/>
        <v>0</v>
      </c>
      <c r="AO81" s="277">
        <f t="shared" si="12"/>
        <v>0</v>
      </c>
      <c r="AP81" s="331"/>
      <c r="AQ81" s="278">
        <f t="shared" si="16"/>
        <v>0</v>
      </c>
      <c r="AR81" s="331">
        <f>IFERROR((VLOOKUP(B81,'АПП Баз'!$B$8:$Y$72,24,FALSE)*1000),0)</f>
        <v>0</v>
      </c>
      <c r="AS81" s="334">
        <f t="shared" si="9"/>
        <v>0</v>
      </c>
    </row>
    <row r="82" spans="1:45" ht="15" customHeight="1" x14ac:dyDescent="0.25">
      <c r="A82" s="261">
        <v>79</v>
      </c>
      <c r="B82" s="5">
        <v>392050</v>
      </c>
      <c r="C82" s="6" t="s">
        <v>204</v>
      </c>
      <c r="D82" s="262"/>
      <c r="E82" s="263"/>
      <c r="F82" s="264"/>
      <c r="G82" s="262"/>
      <c r="H82" s="264"/>
      <c r="I82" s="262"/>
      <c r="J82" s="264"/>
      <c r="K82" s="262"/>
      <c r="L82" s="265">
        <v>0</v>
      </c>
      <c r="M82" s="266">
        <v>0</v>
      </c>
      <c r="N82" s="264"/>
      <c r="O82" s="262"/>
      <c r="P82" s="267">
        <v>50000</v>
      </c>
      <c r="Q82" s="265">
        <v>0</v>
      </c>
      <c r="R82" s="266">
        <v>0</v>
      </c>
      <c r="S82" s="264"/>
      <c r="T82" s="262"/>
      <c r="U82" s="268">
        <v>0</v>
      </c>
      <c r="V82" s="269">
        <v>0</v>
      </c>
      <c r="W82" s="268">
        <v>0</v>
      </c>
      <c r="X82" s="269">
        <v>0</v>
      </c>
      <c r="Y82" s="268">
        <v>0</v>
      </c>
      <c r="Z82" s="269">
        <v>0</v>
      </c>
      <c r="AA82" s="268">
        <v>0</v>
      </c>
      <c r="AB82" s="269">
        <v>0</v>
      </c>
      <c r="AC82" s="284"/>
      <c r="AD82" s="285"/>
      <c r="AE82" s="284"/>
      <c r="AF82" s="285"/>
      <c r="AG82" s="284"/>
      <c r="AH82" s="285"/>
      <c r="AI82" s="272">
        <f t="shared" si="13"/>
        <v>0</v>
      </c>
      <c r="AJ82" s="272">
        <f t="shared" si="10"/>
        <v>0</v>
      </c>
      <c r="AK82" s="273">
        <f t="shared" si="14"/>
        <v>0</v>
      </c>
      <c r="AL82" s="274">
        <f t="shared" si="14"/>
        <v>0</v>
      </c>
      <c r="AM82" s="275">
        <f t="shared" si="11"/>
        <v>50000</v>
      </c>
      <c r="AN82" s="276">
        <f t="shared" si="15"/>
        <v>50000</v>
      </c>
      <c r="AO82" s="277">
        <f t="shared" si="12"/>
        <v>0</v>
      </c>
      <c r="AP82" s="331"/>
      <c r="AQ82" s="278">
        <f t="shared" si="16"/>
        <v>50000</v>
      </c>
      <c r="AR82" s="331">
        <f>IFERROR((VLOOKUP(B82,'АПП Баз'!$B$8:$Y$72,24,FALSE)*1000),0)</f>
        <v>0</v>
      </c>
      <c r="AS82" s="334">
        <f t="shared" si="9"/>
        <v>50000</v>
      </c>
    </row>
    <row r="83" spans="1:45" ht="15" customHeight="1" x14ac:dyDescent="0.25">
      <c r="A83" s="261">
        <v>80</v>
      </c>
      <c r="B83" s="5">
        <v>391840</v>
      </c>
      <c r="C83" s="6" t="s">
        <v>205</v>
      </c>
      <c r="D83" s="262"/>
      <c r="E83" s="263"/>
      <c r="F83" s="264"/>
      <c r="G83" s="262"/>
      <c r="H83" s="264"/>
      <c r="I83" s="262"/>
      <c r="J83" s="264"/>
      <c r="K83" s="262"/>
      <c r="L83" s="265">
        <v>0</v>
      </c>
      <c r="M83" s="266">
        <v>0</v>
      </c>
      <c r="N83" s="264"/>
      <c r="O83" s="262"/>
      <c r="P83" s="267">
        <v>0</v>
      </c>
      <c r="Q83" s="265">
        <v>0</v>
      </c>
      <c r="R83" s="266">
        <v>0</v>
      </c>
      <c r="S83" s="264">
        <v>80</v>
      </c>
      <c r="T83" s="262">
        <v>1592480</v>
      </c>
      <c r="U83" s="268">
        <v>0</v>
      </c>
      <c r="V83" s="269">
        <v>0</v>
      </c>
      <c r="W83" s="268">
        <v>0</v>
      </c>
      <c r="X83" s="269">
        <v>0</v>
      </c>
      <c r="Y83" s="268">
        <v>0</v>
      </c>
      <c r="Z83" s="269">
        <v>0</v>
      </c>
      <c r="AA83" s="268">
        <v>0</v>
      </c>
      <c r="AB83" s="269">
        <v>0</v>
      </c>
      <c r="AC83" s="284"/>
      <c r="AD83" s="285"/>
      <c r="AE83" s="284"/>
      <c r="AF83" s="285"/>
      <c r="AG83" s="284"/>
      <c r="AH83" s="285"/>
      <c r="AI83" s="272">
        <f t="shared" si="13"/>
        <v>0</v>
      </c>
      <c r="AJ83" s="272">
        <f t="shared" si="10"/>
        <v>80</v>
      </c>
      <c r="AK83" s="273">
        <f t="shared" si="14"/>
        <v>0</v>
      </c>
      <c r="AL83" s="274">
        <f t="shared" si="14"/>
        <v>0</v>
      </c>
      <c r="AM83" s="275">
        <f t="shared" si="11"/>
        <v>1592480</v>
      </c>
      <c r="AN83" s="276">
        <f t="shared" si="15"/>
        <v>1592480</v>
      </c>
      <c r="AO83" s="277">
        <f t="shared" si="12"/>
        <v>1592480</v>
      </c>
      <c r="AP83" s="331"/>
      <c r="AQ83" s="278">
        <f t="shared" si="16"/>
        <v>1592480</v>
      </c>
      <c r="AR83" s="331">
        <f>IFERROR((VLOOKUP(B83,'АПП Баз'!$B$8:$Y$72,24,FALSE)*1000),0)</f>
        <v>0</v>
      </c>
      <c r="AS83" s="334">
        <f t="shared" si="9"/>
        <v>1592480</v>
      </c>
    </row>
    <row r="84" spans="1:45" ht="15" customHeight="1" x14ac:dyDescent="0.25">
      <c r="A84" s="261">
        <v>81</v>
      </c>
      <c r="B84" s="437">
        <v>392840</v>
      </c>
      <c r="C84" s="6" t="s">
        <v>206</v>
      </c>
      <c r="D84" s="262"/>
      <c r="E84" s="263"/>
      <c r="F84" s="264"/>
      <c r="G84" s="262"/>
      <c r="H84" s="264"/>
      <c r="I84" s="262"/>
      <c r="J84" s="264"/>
      <c r="K84" s="262"/>
      <c r="L84" s="265">
        <v>50</v>
      </c>
      <c r="M84" s="266">
        <v>66214.5</v>
      </c>
      <c r="N84" s="264"/>
      <c r="O84" s="262"/>
      <c r="P84" s="267">
        <v>0</v>
      </c>
      <c r="Q84" s="265">
        <v>30</v>
      </c>
      <c r="R84" s="266">
        <v>9444.9</v>
      </c>
      <c r="S84" s="264"/>
      <c r="T84" s="262"/>
      <c r="U84" s="268">
        <v>0</v>
      </c>
      <c r="V84" s="269">
        <v>0</v>
      </c>
      <c r="W84" s="268">
        <v>0</v>
      </c>
      <c r="X84" s="269">
        <v>0</v>
      </c>
      <c r="Y84" s="268">
        <v>0</v>
      </c>
      <c r="Z84" s="269">
        <v>0</v>
      </c>
      <c r="AA84" s="268">
        <v>0</v>
      </c>
      <c r="AB84" s="269">
        <v>0</v>
      </c>
      <c r="AC84" s="284"/>
      <c r="AD84" s="285"/>
      <c r="AE84" s="284"/>
      <c r="AF84" s="285"/>
      <c r="AG84" s="284"/>
      <c r="AH84" s="285"/>
      <c r="AI84" s="272">
        <f t="shared" si="13"/>
        <v>50</v>
      </c>
      <c r="AJ84" s="272">
        <f t="shared" si="10"/>
        <v>30</v>
      </c>
      <c r="AK84" s="273">
        <f t="shared" si="14"/>
        <v>0</v>
      </c>
      <c r="AL84" s="274">
        <f t="shared" si="14"/>
        <v>0</v>
      </c>
      <c r="AM84" s="275">
        <f t="shared" si="11"/>
        <v>75659.399999999994</v>
      </c>
      <c r="AN84" s="276">
        <f t="shared" si="15"/>
        <v>75659.399999999994</v>
      </c>
      <c r="AO84" s="277">
        <f t="shared" si="12"/>
        <v>75659.399999999994</v>
      </c>
      <c r="AP84" s="331"/>
      <c r="AQ84" s="278">
        <f t="shared" si="16"/>
        <v>75659.399999999994</v>
      </c>
      <c r="AR84" s="331">
        <f>IFERROR((VLOOKUP(B84,'АПП Баз'!$B$8:$Y$72,24,FALSE)*1000),0)</f>
        <v>0</v>
      </c>
      <c r="AS84" s="334">
        <f t="shared" si="9"/>
        <v>75659.399999999994</v>
      </c>
    </row>
    <row r="85" spans="1:45" ht="15" customHeight="1" x14ac:dyDescent="0.25">
      <c r="A85" s="261">
        <v>82</v>
      </c>
      <c r="B85" s="5">
        <v>392580</v>
      </c>
      <c r="C85" s="6" t="s">
        <v>71</v>
      </c>
      <c r="D85" s="262"/>
      <c r="E85" s="263"/>
      <c r="F85" s="264"/>
      <c r="G85" s="262"/>
      <c r="H85" s="264"/>
      <c r="I85" s="262"/>
      <c r="J85" s="264"/>
      <c r="K85" s="262"/>
      <c r="L85" s="265">
        <v>0</v>
      </c>
      <c r="M85" s="266">
        <v>0</v>
      </c>
      <c r="N85" s="264"/>
      <c r="O85" s="262"/>
      <c r="P85" s="267">
        <v>0</v>
      </c>
      <c r="Q85" s="265">
        <v>0</v>
      </c>
      <c r="R85" s="266">
        <v>0</v>
      </c>
      <c r="S85" s="264"/>
      <c r="T85" s="262"/>
      <c r="U85" s="268">
        <v>0</v>
      </c>
      <c r="V85" s="269">
        <v>0</v>
      </c>
      <c r="W85" s="268">
        <v>0</v>
      </c>
      <c r="X85" s="269">
        <v>0</v>
      </c>
      <c r="Y85" s="268">
        <v>0</v>
      </c>
      <c r="Z85" s="269">
        <v>0</v>
      </c>
      <c r="AA85" s="268">
        <v>0</v>
      </c>
      <c r="AB85" s="269">
        <v>0</v>
      </c>
      <c r="AC85" s="284"/>
      <c r="AD85" s="285"/>
      <c r="AE85" s="284"/>
      <c r="AF85" s="285"/>
      <c r="AG85" s="284"/>
      <c r="AH85" s="285"/>
      <c r="AI85" s="272">
        <f t="shared" si="13"/>
        <v>0</v>
      </c>
      <c r="AJ85" s="272">
        <f t="shared" si="10"/>
        <v>0</v>
      </c>
      <c r="AK85" s="273">
        <f t="shared" si="14"/>
        <v>0</v>
      </c>
      <c r="AL85" s="274">
        <f t="shared" si="14"/>
        <v>0</v>
      </c>
      <c r="AM85" s="275">
        <f t="shared" si="11"/>
        <v>0</v>
      </c>
      <c r="AN85" s="276">
        <f t="shared" si="15"/>
        <v>0</v>
      </c>
      <c r="AO85" s="277">
        <f t="shared" si="12"/>
        <v>0</v>
      </c>
      <c r="AP85" s="331"/>
      <c r="AQ85" s="278">
        <f t="shared" si="16"/>
        <v>0</v>
      </c>
      <c r="AR85" s="331">
        <f>IFERROR((VLOOKUP(B85,'АПП Баз'!$B$8:$Y$72,24,FALSE)*1000),0)</f>
        <v>188049.45</v>
      </c>
      <c r="AS85" s="334">
        <f t="shared" si="9"/>
        <v>-188049.45</v>
      </c>
    </row>
    <row r="86" spans="1:45" ht="15" customHeight="1" x14ac:dyDescent="0.25">
      <c r="A86" s="261">
        <v>83</v>
      </c>
      <c r="B86" s="437">
        <v>392900</v>
      </c>
      <c r="C86" s="6" t="s">
        <v>207</v>
      </c>
      <c r="D86" s="262"/>
      <c r="E86" s="263"/>
      <c r="F86" s="264"/>
      <c r="G86" s="262"/>
      <c r="H86" s="264"/>
      <c r="I86" s="262"/>
      <c r="J86" s="264"/>
      <c r="K86" s="262"/>
      <c r="L86" s="265">
        <v>0</v>
      </c>
      <c r="M86" s="266">
        <v>0</v>
      </c>
      <c r="N86" s="264"/>
      <c r="O86" s="262"/>
      <c r="P86" s="267">
        <v>0</v>
      </c>
      <c r="Q86" s="265">
        <v>0</v>
      </c>
      <c r="R86" s="266">
        <v>0</v>
      </c>
      <c r="S86" s="264"/>
      <c r="T86" s="262"/>
      <c r="U86" s="268">
        <v>0</v>
      </c>
      <c r="V86" s="269">
        <v>0</v>
      </c>
      <c r="W86" s="268">
        <v>0</v>
      </c>
      <c r="X86" s="269">
        <v>0</v>
      </c>
      <c r="Y86" s="268">
        <v>0</v>
      </c>
      <c r="Z86" s="269">
        <v>0</v>
      </c>
      <c r="AA86" s="268">
        <v>0</v>
      </c>
      <c r="AB86" s="269">
        <v>0</v>
      </c>
      <c r="AC86" s="284"/>
      <c r="AD86" s="285"/>
      <c r="AE86" s="284"/>
      <c r="AF86" s="285"/>
      <c r="AG86" s="284"/>
      <c r="AH86" s="285"/>
      <c r="AI86" s="272">
        <f t="shared" si="13"/>
        <v>0</v>
      </c>
      <c r="AJ86" s="272">
        <f t="shared" si="10"/>
        <v>0</v>
      </c>
      <c r="AK86" s="273">
        <f t="shared" si="14"/>
        <v>0</v>
      </c>
      <c r="AL86" s="274">
        <f t="shared" si="14"/>
        <v>0</v>
      </c>
      <c r="AM86" s="275">
        <f>R86+M86+O86+P86+T86+V86+X86+Z86+AB86+AD86+AF86+AH86</f>
        <v>0</v>
      </c>
      <c r="AN86" s="276">
        <f>D86+E86+AM86</f>
        <v>0</v>
      </c>
      <c r="AO86" s="277">
        <f>AM86-P86</f>
        <v>0</v>
      </c>
      <c r="AP86" s="331"/>
      <c r="AQ86" s="278">
        <f>AN86-AH86-AF86-AD86</f>
        <v>0</v>
      </c>
      <c r="AR86" s="331">
        <f>IFERROR((VLOOKUP(B86,'АПП Баз'!$B$8:$Y$72,24,FALSE)*1000),0)</f>
        <v>0</v>
      </c>
      <c r="AS86" s="334">
        <f>AQ86-AR86</f>
        <v>0</v>
      </c>
    </row>
    <row r="87" spans="1:45" ht="15" customHeight="1" x14ac:dyDescent="0.25">
      <c r="A87" s="261">
        <v>84</v>
      </c>
      <c r="B87" s="5">
        <v>390010</v>
      </c>
      <c r="C87" s="6" t="s">
        <v>208</v>
      </c>
      <c r="D87" s="291"/>
      <c r="E87" s="292"/>
      <c r="F87" s="293"/>
      <c r="G87" s="291"/>
      <c r="H87" s="293"/>
      <c r="I87" s="291"/>
      <c r="J87" s="293"/>
      <c r="K87" s="291"/>
      <c r="L87" s="265">
        <v>0</v>
      </c>
      <c r="M87" s="266">
        <v>0</v>
      </c>
      <c r="N87" s="293"/>
      <c r="O87" s="291"/>
      <c r="P87" s="267">
        <v>0</v>
      </c>
      <c r="Q87" s="265">
        <v>30</v>
      </c>
      <c r="R87" s="266">
        <v>9444.9</v>
      </c>
      <c r="S87" s="293"/>
      <c r="T87" s="291"/>
      <c r="U87" s="268">
        <v>0</v>
      </c>
      <c r="V87" s="269">
        <v>0</v>
      </c>
      <c r="W87" s="268">
        <v>0</v>
      </c>
      <c r="X87" s="269">
        <v>0</v>
      </c>
      <c r="Y87" s="268">
        <v>0</v>
      </c>
      <c r="Z87" s="269">
        <v>0</v>
      </c>
      <c r="AA87" s="268">
        <v>0</v>
      </c>
      <c r="AB87" s="269">
        <v>0</v>
      </c>
      <c r="AC87" s="284"/>
      <c r="AD87" s="285"/>
      <c r="AE87" s="284"/>
      <c r="AF87" s="285"/>
      <c r="AG87" s="284"/>
      <c r="AH87" s="285"/>
      <c r="AI87" s="272">
        <f t="shared" si="13"/>
        <v>0</v>
      </c>
      <c r="AJ87" s="272">
        <f t="shared" si="10"/>
        <v>30</v>
      </c>
      <c r="AK87" s="273">
        <f t="shared" si="14"/>
        <v>0</v>
      </c>
      <c r="AL87" s="274">
        <f t="shared" si="14"/>
        <v>0</v>
      </c>
      <c r="AM87" s="275">
        <f t="shared" si="11"/>
        <v>9444.9</v>
      </c>
      <c r="AN87" s="276">
        <f t="shared" si="15"/>
        <v>9444.9</v>
      </c>
      <c r="AO87" s="277">
        <f t="shared" si="12"/>
        <v>9444.9</v>
      </c>
      <c r="AP87" s="331"/>
      <c r="AQ87" s="278">
        <f t="shared" si="16"/>
        <v>9444.9</v>
      </c>
      <c r="AR87" s="331">
        <f>IFERROR((VLOOKUP(B87,'АПП Баз'!$B$8:$Y$72,24,FALSE)*1000),0)</f>
        <v>0</v>
      </c>
      <c r="AS87" s="334">
        <f t="shared" si="9"/>
        <v>9444.9</v>
      </c>
    </row>
    <row r="88" spans="1:45" ht="15" customHeight="1" x14ac:dyDescent="0.25">
      <c r="A88" s="261">
        <v>85</v>
      </c>
      <c r="B88" s="5">
        <v>392920</v>
      </c>
      <c r="C88" s="6" t="s">
        <v>237</v>
      </c>
      <c r="D88" s="291"/>
      <c r="E88" s="292"/>
      <c r="F88" s="293"/>
      <c r="G88" s="291"/>
      <c r="H88" s="293"/>
      <c r="I88" s="291"/>
      <c r="J88" s="293"/>
      <c r="K88" s="291"/>
      <c r="L88" s="265">
        <v>0</v>
      </c>
      <c r="M88" s="266">
        <v>0</v>
      </c>
      <c r="N88" s="294"/>
      <c r="O88" s="295"/>
      <c r="P88" s="267">
        <v>0</v>
      </c>
      <c r="Q88" s="265">
        <v>0</v>
      </c>
      <c r="R88" s="266">
        <v>0</v>
      </c>
      <c r="S88" s="293"/>
      <c r="T88" s="291"/>
      <c r="U88" s="268">
        <v>0</v>
      </c>
      <c r="V88" s="269">
        <v>0</v>
      </c>
      <c r="W88" s="268">
        <v>0</v>
      </c>
      <c r="X88" s="269">
        <v>0</v>
      </c>
      <c r="Y88" s="268">
        <v>0</v>
      </c>
      <c r="Z88" s="269">
        <v>0</v>
      </c>
      <c r="AA88" s="268">
        <v>0</v>
      </c>
      <c r="AB88" s="269">
        <v>0</v>
      </c>
      <c r="AC88" s="270">
        <v>0</v>
      </c>
      <c r="AD88" s="271">
        <v>0</v>
      </c>
      <c r="AE88" s="270">
        <v>0</v>
      </c>
      <c r="AF88" s="271">
        <v>0</v>
      </c>
      <c r="AG88" s="270">
        <v>0</v>
      </c>
      <c r="AH88" s="271">
        <v>0</v>
      </c>
      <c r="AI88" s="272">
        <f t="shared" si="13"/>
        <v>0</v>
      </c>
      <c r="AJ88" s="272">
        <f t="shared" si="10"/>
        <v>0</v>
      </c>
      <c r="AK88" s="273">
        <f t="shared" si="14"/>
        <v>0</v>
      </c>
      <c r="AL88" s="274">
        <f t="shared" si="14"/>
        <v>0</v>
      </c>
      <c r="AM88" s="275">
        <f t="shared" si="11"/>
        <v>0</v>
      </c>
      <c r="AN88" s="276">
        <f t="shared" si="15"/>
        <v>0</v>
      </c>
      <c r="AO88" s="277">
        <f t="shared" si="12"/>
        <v>0</v>
      </c>
      <c r="AP88" s="331"/>
      <c r="AQ88" s="278">
        <f t="shared" si="16"/>
        <v>0</v>
      </c>
      <c r="AR88" s="331">
        <f>IFERROR((VLOOKUP(B88,'АПП Баз'!$B$8:$Y$72,24,FALSE)*1000),0)</f>
        <v>0</v>
      </c>
      <c r="AS88" s="334">
        <f t="shared" si="9"/>
        <v>0</v>
      </c>
    </row>
    <row r="89" spans="1:45" x14ac:dyDescent="0.25">
      <c r="A89" s="261"/>
      <c r="B89" s="261"/>
      <c r="C89" s="296" t="s">
        <v>75</v>
      </c>
      <c r="D89" s="297">
        <f>SUM(D4:D88)</f>
        <v>2233546324.7399998</v>
      </c>
      <c r="E89" s="298">
        <f t="shared" ref="E89:AO89" si="17">SUM(E4:E88)</f>
        <v>213380717.88000003</v>
      </c>
      <c r="F89" s="299">
        <f t="shared" si="17"/>
        <v>1433856</v>
      </c>
      <c r="G89" s="300">
        <f t="shared" si="17"/>
        <v>1518573086.3585024</v>
      </c>
      <c r="H89" s="299">
        <f t="shared" si="17"/>
        <v>1503772</v>
      </c>
      <c r="I89" s="300">
        <f t="shared" si="17"/>
        <v>431208107.37149787</v>
      </c>
      <c r="J89" s="299">
        <f t="shared" si="17"/>
        <v>408617</v>
      </c>
      <c r="K89" s="300">
        <f t="shared" si="17"/>
        <v>284245602.15999991</v>
      </c>
      <c r="L89" s="301">
        <f>SUM(L4:L88)</f>
        <v>56913</v>
      </c>
      <c r="M89" s="302">
        <f t="shared" si="17"/>
        <v>75369316.769999981</v>
      </c>
      <c r="N89" s="299">
        <f t="shared" si="17"/>
        <v>4089</v>
      </c>
      <c r="O89" s="300">
        <f t="shared" si="17"/>
        <v>363511954.23000002</v>
      </c>
      <c r="P89" s="300">
        <f t="shared" si="17"/>
        <v>107190000</v>
      </c>
      <c r="Q89" s="301">
        <f>SUM(Q4:Q88)</f>
        <v>644026</v>
      </c>
      <c r="R89" s="302">
        <f>SUM(R4:R88)</f>
        <v>290688317.57999986</v>
      </c>
      <c r="S89" s="299">
        <f t="shared" si="17"/>
        <v>1730</v>
      </c>
      <c r="T89" s="300">
        <f t="shared" si="17"/>
        <v>34437380</v>
      </c>
      <c r="U89" s="301">
        <f t="shared" si="17"/>
        <v>0</v>
      </c>
      <c r="V89" s="302">
        <f t="shared" si="17"/>
        <v>0</v>
      </c>
      <c r="W89" s="301">
        <f t="shared" si="17"/>
        <v>0</v>
      </c>
      <c r="X89" s="302">
        <f t="shared" si="17"/>
        <v>0</v>
      </c>
      <c r="Y89" s="301">
        <f t="shared" si="17"/>
        <v>0</v>
      </c>
      <c r="Z89" s="302">
        <f t="shared" si="17"/>
        <v>0</v>
      </c>
      <c r="AA89" s="301">
        <f t="shared" si="17"/>
        <v>0</v>
      </c>
      <c r="AB89" s="302">
        <f t="shared" si="17"/>
        <v>0</v>
      </c>
      <c r="AC89" s="34">
        <f t="shared" si="17"/>
        <v>750435.89600000007</v>
      </c>
      <c r="AD89" s="303">
        <f t="shared" si="17"/>
        <v>293044000</v>
      </c>
      <c r="AE89" s="34">
        <f t="shared" si="17"/>
        <v>559310.07999999996</v>
      </c>
      <c r="AF89" s="303">
        <f t="shared" si="17"/>
        <v>215664000</v>
      </c>
      <c r="AG89" s="34">
        <f t="shared" si="17"/>
        <v>175157.39999999994</v>
      </c>
      <c r="AH89" s="303">
        <f t="shared" si="17"/>
        <v>15729000</v>
      </c>
      <c r="AI89" s="25">
        <f t="shared" si="17"/>
        <v>810158.06400000001</v>
      </c>
      <c r="AJ89" s="25">
        <f>SUM(AJ4:AJ88)</f>
        <v>1380223.4800000004</v>
      </c>
      <c r="AK89" s="25">
        <f>SUM(AK4:AK88)</f>
        <v>0</v>
      </c>
      <c r="AL89" s="304">
        <f t="shared" si="17"/>
        <v>0</v>
      </c>
      <c r="AM89" s="305">
        <f t="shared" si="17"/>
        <v>1395633968.5800004</v>
      </c>
      <c r="AN89" s="300">
        <f t="shared" si="17"/>
        <v>3842561011.2000008</v>
      </c>
      <c r="AO89" s="303">
        <f t="shared" si="17"/>
        <v>1288443968.5800004</v>
      </c>
      <c r="AP89" s="300"/>
      <c r="AQ89" s="300">
        <f>SUM(AQ4:AQ88)</f>
        <v>3318124011.2000008</v>
      </c>
      <c r="AR89" s="300">
        <f>SUM(AR4:AR88)</f>
        <v>5664654552.5799551</v>
      </c>
      <c r="AS89" s="305">
        <f t="shared" ref="AS89" si="18">SUM(AS4:AS88)</f>
        <v>-2346530541.3799586</v>
      </c>
    </row>
    <row r="90" spans="1:45" x14ac:dyDescent="0.25">
      <c r="A90" s="306"/>
      <c r="B90" s="306"/>
      <c r="C90" s="307"/>
      <c r="D90" s="297"/>
      <c r="E90" s="298"/>
      <c r="F90" s="299"/>
      <c r="G90" s="300"/>
      <c r="H90" s="299"/>
      <c r="I90" s="300"/>
      <c r="J90" s="299"/>
      <c r="K90" s="300"/>
      <c r="L90" s="301"/>
      <c r="M90" s="302"/>
      <c r="N90" s="299"/>
      <c r="O90" s="300"/>
      <c r="P90" s="300"/>
      <c r="Q90" s="301"/>
      <c r="R90" s="302"/>
      <c r="S90" s="299"/>
      <c r="T90" s="300"/>
      <c r="U90" s="301"/>
      <c r="V90" s="302"/>
      <c r="W90" s="301"/>
      <c r="X90" s="302"/>
      <c r="Y90" s="301"/>
      <c r="Z90" s="302"/>
      <c r="AA90" s="301"/>
      <c r="AB90" s="302"/>
      <c r="AC90" s="34"/>
      <c r="AD90" s="303"/>
      <c r="AE90" s="34"/>
      <c r="AF90" s="303"/>
      <c r="AG90" s="34"/>
      <c r="AH90" s="303"/>
      <c r="AI90" s="305"/>
      <c r="AJ90" s="305"/>
      <c r="AK90" s="304"/>
      <c r="AL90" s="304"/>
      <c r="AM90" s="305"/>
      <c r="AN90" s="300"/>
      <c r="AO90" s="303"/>
      <c r="AQ90" s="308"/>
      <c r="AR90" s="308"/>
    </row>
    <row r="91" spans="1:45" x14ac:dyDescent="0.25">
      <c r="C91" s="68" t="s">
        <v>178</v>
      </c>
      <c r="D91" s="417">
        <v>14290903.139999999</v>
      </c>
      <c r="E91" s="418">
        <v>165123264.64000005</v>
      </c>
      <c r="F91" s="419">
        <v>1433856</v>
      </c>
      <c r="G91" s="420">
        <v>1641480386.3585024</v>
      </c>
      <c r="H91" s="421">
        <v>1503772</v>
      </c>
      <c r="I91" s="420">
        <v>308300807.37149787</v>
      </c>
      <c r="J91" s="421">
        <v>542217</v>
      </c>
      <c r="K91" s="420">
        <v>414236502.16000003</v>
      </c>
      <c r="L91" s="422"/>
      <c r="M91" s="423"/>
      <c r="N91" s="421">
        <v>4089</v>
      </c>
      <c r="O91" s="420">
        <v>363511954.23000002</v>
      </c>
      <c r="P91" s="420">
        <v>430531500</v>
      </c>
      <c r="Q91" s="422"/>
      <c r="R91" s="423"/>
      <c r="S91" s="421">
        <v>1730</v>
      </c>
      <c r="T91" s="420">
        <f>34437.38*1000</f>
        <v>34437380</v>
      </c>
      <c r="U91" s="424"/>
      <c r="V91" s="425"/>
      <c r="W91" s="424">
        <v>0</v>
      </c>
      <c r="X91" s="425">
        <v>0</v>
      </c>
      <c r="Y91" s="424"/>
      <c r="Z91" s="425"/>
      <c r="AA91" s="424"/>
      <c r="AB91" s="425"/>
      <c r="AC91" s="426">
        <v>751184.96799999988</v>
      </c>
      <c r="AD91" s="427">
        <v>293342000</v>
      </c>
      <c r="AE91" s="426">
        <v>559878.848</v>
      </c>
      <c r="AF91" s="427">
        <v>215866000</v>
      </c>
      <c r="AG91" s="426">
        <v>175321.45999999993</v>
      </c>
      <c r="AH91" s="427">
        <v>15745000</v>
      </c>
      <c r="AI91" s="428"/>
      <c r="AJ91" s="428"/>
      <c r="AK91" s="438">
        <v>0</v>
      </c>
      <c r="AL91" s="429">
        <v>0</v>
      </c>
      <c r="AM91" s="428"/>
      <c r="AN91" s="420">
        <v>5996020544.6399994</v>
      </c>
      <c r="AO91" s="427"/>
      <c r="AQ91" s="396">
        <f>AN89-AH94</f>
        <v>3318124011.2000008</v>
      </c>
      <c r="AR91" s="319"/>
    </row>
    <row r="92" spans="1:45" s="414" customFormat="1" x14ac:dyDescent="0.25">
      <c r="C92" s="415" t="s">
        <v>213</v>
      </c>
      <c r="D92" s="430">
        <f t="shared" ref="D92:H92" si="19">D91-D89</f>
        <v>-2219255421.5999999</v>
      </c>
      <c r="E92" s="431">
        <f t="shared" si="19"/>
        <v>-48257453.23999998</v>
      </c>
      <c r="F92" s="39">
        <f t="shared" si="19"/>
        <v>0</v>
      </c>
      <c r="G92" s="308">
        <f t="shared" si="19"/>
        <v>122907300</v>
      </c>
      <c r="H92" s="39">
        <f t="shared" si="19"/>
        <v>0</v>
      </c>
      <c r="I92" s="308">
        <f>I91-I89</f>
        <v>-122907300</v>
      </c>
      <c r="J92" s="39">
        <f t="shared" ref="J92:AO92" si="20">J91-J89</f>
        <v>133600</v>
      </c>
      <c r="K92" s="308">
        <f t="shared" si="20"/>
        <v>129990900.00000012</v>
      </c>
      <c r="L92" s="43">
        <f t="shared" si="20"/>
        <v>-56913</v>
      </c>
      <c r="M92" s="328">
        <f t="shared" si="20"/>
        <v>-75369316.769999981</v>
      </c>
      <c r="N92" s="39">
        <f t="shared" si="20"/>
        <v>0</v>
      </c>
      <c r="O92" s="308">
        <f t="shared" si="20"/>
        <v>0</v>
      </c>
      <c r="P92" s="308">
        <f t="shared" si="20"/>
        <v>323341500</v>
      </c>
      <c r="Q92" s="43">
        <f t="shared" si="20"/>
        <v>-644026</v>
      </c>
      <c r="R92" s="328">
        <f t="shared" si="20"/>
        <v>-290688317.57999986</v>
      </c>
      <c r="S92" s="39">
        <f t="shared" si="20"/>
        <v>0</v>
      </c>
      <c r="T92" s="308">
        <f t="shared" si="20"/>
        <v>0</v>
      </c>
      <c r="U92" s="43">
        <f t="shared" si="20"/>
        <v>0</v>
      </c>
      <c r="V92" s="328">
        <f t="shared" si="20"/>
        <v>0</v>
      </c>
      <c r="W92" s="43">
        <f t="shared" si="20"/>
        <v>0</v>
      </c>
      <c r="X92" s="328">
        <f t="shared" si="20"/>
        <v>0</v>
      </c>
      <c r="Y92" s="43">
        <f t="shared" si="20"/>
        <v>0</v>
      </c>
      <c r="Z92" s="328">
        <f t="shared" si="20"/>
        <v>0</v>
      </c>
      <c r="AA92" s="43">
        <f t="shared" si="20"/>
        <v>0</v>
      </c>
      <c r="AB92" s="328">
        <f t="shared" si="20"/>
        <v>0</v>
      </c>
      <c r="AC92" s="432">
        <f t="shared" si="20"/>
        <v>749.07199999981094</v>
      </c>
      <c r="AD92" s="309">
        <f t="shared" si="20"/>
        <v>298000</v>
      </c>
      <c r="AE92" s="432">
        <f t="shared" si="20"/>
        <v>568.76800000004005</v>
      </c>
      <c r="AF92" s="309">
        <f t="shared" si="20"/>
        <v>202000</v>
      </c>
      <c r="AG92" s="432">
        <f t="shared" si="20"/>
        <v>164.05999999999767</v>
      </c>
      <c r="AH92" s="309">
        <f t="shared" si="20"/>
        <v>16000</v>
      </c>
      <c r="AI92" s="433">
        <f t="shared" si="20"/>
        <v>-810158.06400000001</v>
      </c>
      <c r="AJ92" s="433">
        <f t="shared" si="20"/>
        <v>-1380223.4800000004</v>
      </c>
      <c r="AK92" s="433">
        <f t="shared" si="20"/>
        <v>0</v>
      </c>
      <c r="AL92" s="434">
        <f t="shared" si="20"/>
        <v>0</v>
      </c>
      <c r="AM92" s="435">
        <f t="shared" si="20"/>
        <v>-1395633968.5800004</v>
      </c>
      <c r="AN92" s="308">
        <f t="shared" si="20"/>
        <v>2153459533.4399986</v>
      </c>
      <c r="AO92" s="309">
        <f t="shared" si="20"/>
        <v>-1288443968.5800004</v>
      </c>
      <c r="AQ92" s="415"/>
      <c r="AS92" s="416"/>
    </row>
    <row r="93" spans="1:45" ht="30.75" customHeight="1" x14ac:dyDescent="0.25">
      <c r="D93" s="440"/>
      <c r="F93" s="325"/>
      <c r="G93" s="158"/>
      <c r="H93" s="325"/>
      <c r="I93" s="326"/>
      <c r="J93" s="629" t="s">
        <v>233</v>
      </c>
      <c r="K93" s="629"/>
      <c r="AN93" s="155"/>
      <c r="AQ93" s="40">
        <f>AQ91-AQ89</f>
        <v>0</v>
      </c>
    </row>
    <row r="94" spans="1:45" x14ac:dyDescent="0.25">
      <c r="C94" s="259"/>
      <c r="D94" s="331"/>
      <c r="G94" s="405">
        <f>G89/$D$89</f>
        <v>0.6798932574345754</v>
      </c>
      <c r="H94" s="406"/>
      <c r="I94" s="405">
        <f>I89/$D$89</f>
        <v>0.1930598450523266</v>
      </c>
      <c r="J94" s="406"/>
      <c r="K94" s="405">
        <f>K89/$D$89</f>
        <v>0.12726201333347678</v>
      </c>
      <c r="AH94" s="333">
        <f>AD89+AF89+AH89</f>
        <v>524437000</v>
      </c>
      <c r="AI94" s="334"/>
      <c r="AJ94" s="334"/>
      <c r="AK94" s="335"/>
      <c r="AL94" s="335"/>
      <c r="AM94" s="334"/>
      <c r="AQ94" s="308"/>
    </row>
    <row r="95" spans="1:45" x14ac:dyDescent="0.25">
      <c r="AH95" s="333">
        <v>708028036.22651994</v>
      </c>
    </row>
    <row r="96" spans="1:45" x14ac:dyDescent="0.25">
      <c r="G96" s="331"/>
      <c r="AG96" s="319" t="s">
        <v>238</v>
      </c>
      <c r="AH96" s="333">
        <f>AH95-AH94</f>
        <v>183591036.22651994</v>
      </c>
      <c r="AQ96" s="308"/>
    </row>
    <row r="97" spans="7:43" x14ac:dyDescent="0.25">
      <c r="G97" s="331"/>
      <c r="I97" s="331"/>
      <c r="AQ97" s="308"/>
    </row>
  </sheetData>
  <autoFilter ref="A3:AS89" xr:uid="{5397B191-A986-4C1E-AFB5-4990C3165180}"/>
  <mergeCells count="19">
    <mergeCell ref="A1:A2"/>
    <mergeCell ref="B1:B2"/>
    <mergeCell ref="C1:C2"/>
    <mergeCell ref="F1:G1"/>
    <mergeCell ref="H1:I1"/>
    <mergeCell ref="AG1:AH1"/>
    <mergeCell ref="AI1:AM1"/>
    <mergeCell ref="L1:M1"/>
    <mergeCell ref="N1:O1"/>
    <mergeCell ref="Q1:R1"/>
    <mergeCell ref="S1:T1"/>
    <mergeCell ref="U1:V1"/>
    <mergeCell ref="W1:X1"/>
    <mergeCell ref="J93:K93"/>
    <mergeCell ref="Y1:Z1"/>
    <mergeCell ref="AA1:AB1"/>
    <mergeCell ref="AC1:AD1"/>
    <mergeCell ref="AE1:AF1"/>
    <mergeCell ref="J1:K1"/>
  </mergeCells>
  <pageMargins left="0.19685039370078741" right="0.19685039370078741" top="0.19685039370078741" bottom="0.78740157480314965" header="0.23622047244094491" footer="0.47244094488188981"/>
  <pageSetup paperSize="9" scale="45" fitToWidth="2" fitToHeight="2" orientation="landscape" verticalDpi="4294967294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1"/>
  <sheetViews>
    <sheetView zoomScale="91" zoomScaleNormal="91" workbookViewId="0">
      <pane xSplit="3" ySplit="7" topLeftCell="I53" activePane="bottomRight" state="frozen"/>
      <selection pane="topRight" activeCell="D1" sqref="D1"/>
      <selection pane="bottomLeft" activeCell="A7" sqref="A7"/>
      <selection pane="bottomRight" activeCell="L12" sqref="L12"/>
    </sheetView>
  </sheetViews>
  <sheetFormatPr defaultColWidth="9.140625" defaultRowHeight="21.75" customHeight="1" x14ac:dyDescent="0.25"/>
  <cols>
    <col min="1" max="1" width="8.140625" style="202" customWidth="1"/>
    <col min="2" max="2" width="12" style="202" customWidth="1"/>
    <col min="3" max="3" width="35.28515625" style="94" customWidth="1"/>
    <col min="4" max="4" width="13.7109375" style="94" customWidth="1"/>
    <col min="5" max="5" width="22.42578125" style="94" customWidth="1"/>
    <col min="6" max="7" width="13.42578125" style="94" customWidth="1"/>
    <col min="8" max="8" width="19.5703125" style="94" customWidth="1"/>
    <col min="9" max="10" width="13.42578125" style="94" customWidth="1"/>
    <col min="11" max="11" width="11.5703125" style="94" customWidth="1"/>
    <col min="12" max="12" width="15.42578125" style="94" customWidth="1"/>
    <col min="13" max="13" width="11" style="94" customWidth="1"/>
    <col min="14" max="14" width="15.42578125" style="94" customWidth="1"/>
    <col min="15" max="15" width="11.7109375" style="94" customWidth="1"/>
    <col min="16" max="16" width="15.42578125" style="94" customWidth="1"/>
    <col min="17" max="17" width="9.28515625" style="94" customWidth="1"/>
    <col min="18" max="20" width="15.42578125" style="94" customWidth="1"/>
    <col min="21" max="21" width="15.42578125" style="225" customWidth="1"/>
    <col min="22" max="22" width="15.42578125" style="94" customWidth="1"/>
    <col min="23" max="24" width="13.28515625" style="94" customWidth="1"/>
    <col min="25" max="25" width="14.85546875" style="221" customWidth="1"/>
    <col min="26" max="16384" width="9.140625" style="94"/>
  </cols>
  <sheetData>
    <row r="1" spans="1:25" ht="21.75" hidden="1" customHeight="1" x14ac:dyDescent="0.25">
      <c r="A1" s="200"/>
      <c r="B1" s="200"/>
      <c r="C1" s="92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223"/>
      <c r="V1" s="93"/>
      <c r="W1" s="93"/>
      <c r="X1" s="93"/>
      <c r="Y1" s="218" t="s">
        <v>0</v>
      </c>
    </row>
    <row r="2" spans="1:25" ht="21.75" hidden="1" customHeight="1" x14ac:dyDescent="0.25">
      <c r="A2" s="200"/>
      <c r="B2" s="200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223"/>
      <c r="V2" s="93"/>
      <c r="W2" s="93"/>
      <c r="X2" s="93"/>
      <c r="Y2" s="218" t="s">
        <v>184</v>
      </c>
    </row>
    <row r="3" spans="1:25" ht="21.75" hidden="1" customHeight="1" x14ac:dyDescent="0.25">
      <c r="A3" s="200"/>
      <c r="B3" s="200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223"/>
      <c r="V3" s="93"/>
      <c r="W3" s="93"/>
      <c r="X3" s="93"/>
      <c r="Y3" s="218" t="s">
        <v>185</v>
      </c>
    </row>
    <row r="4" spans="1:25" ht="21.75" hidden="1" customHeight="1" x14ac:dyDescent="0.25">
      <c r="A4" s="203" t="s">
        <v>183</v>
      </c>
      <c r="B4" s="204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224"/>
      <c r="V4" s="198"/>
      <c r="W4" s="198"/>
      <c r="X4" s="198"/>
      <c r="Y4" s="198"/>
    </row>
    <row r="5" spans="1:25" ht="21.75" customHeight="1" x14ac:dyDescent="0.25">
      <c r="A5" s="630" t="s">
        <v>217</v>
      </c>
      <c r="B5" s="630"/>
      <c r="C5" s="237">
        <v>2</v>
      </c>
      <c r="D5" s="237">
        <v>3</v>
      </c>
      <c r="E5" s="237">
        <v>4</v>
      </c>
      <c r="F5" s="237">
        <v>5</v>
      </c>
      <c r="G5" s="237">
        <v>6</v>
      </c>
      <c r="H5" s="237">
        <v>7</v>
      </c>
      <c r="I5" s="237">
        <v>8</v>
      </c>
      <c r="J5" s="237">
        <v>9</v>
      </c>
      <c r="K5" s="237">
        <v>10</v>
      </c>
      <c r="L5" s="237">
        <v>11</v>
      </c>
      <c r="M5" s="237">
        <v>12</v>
      </c>
      <c r="N5" s="237">
        <v>13</v>
      </c>
      <c r="O5" s="237">
        <v>14</v>
      </c>
      <c r="P5" s="237">
        <v>15</v>
      </c>
      <c r="Q5" s="237">
        <v>16</v>
      </c>
      <c r="R5" s="237">
        <v>17</v>
      </c>
      <c r="S5" s="237">
        <v>18</v>
      </c>
      <c r="T5" s="237">
        <v>19</v>
      </c>
      <c r="U5" s="237">
        <v>20</v>
      </c>
      <c r="V5" s="237">
        <v>21</v>
      </c>
      <c r="W5" s="237">
        <v>22</v>
      </c>
      <c r="X5" s="237">
        <v>23</v>
      </c>
      <c r="Y5" s="237">
        <v>24</v>
      </c>
    </row>
    <row r="6" spans="1:25" ht="48" customHeight="1" x14ac:dyDescent="0.25">
      <c r="A6" s="596" t="s">
        <v>4</v>
      </c>
      <c r="B6" s="597" t="s">
        <v>5</v>
      </c>
      <c r="C6" s="634" t="s">
        <v>6</v>
      </c>
      <c r="D6" s="635" t="s">
        <v>7</v>
      </c>
      <c r="E6" s="636"/>
      <c r="F6" s="637" t="s">
        <v>8</v>
      </c>
      <c r="G6" s="637"/>
      <c r="H6" s="215" t="s">
        <v>186</v>
      </c>
      <c r="I6" s="637" t="s">
        <v>187</v>
      </c>
      <c r="J6" s="637"/>
      <c r="K6" s="635" t="s">
        <v>9</v>
      </c>
      <c r="L6" s="636"/>
      <c r="M6" s="631" t="s">
        <v>189</v>
      </c>
      <c r="N6" s="632"/>
      <c r="O6" s="591" t="s">
        <v>167</v>
      </c>
      <c r="P6" s="591"/>
      <c r="Q6" s="631" t="s">
        <v>190</v>
      </c>
      <c r="R6" s="632"/>
      <c r="S6" s="631" t="s">
        <v>191</v>
      </c>
      <c r="T6" s="632"/>
      <c r="U6" s="591" t="s">
        <v>192</v>
      </c>
      <c r="V6" s="591"/>
      <c r="W6" s="635" t="s">
        <v>10</v>
      </c>
      <c r="X6" s="636"/>
      <c r="Y6" s="633" t="s">
        <v>11</v>
      </c>
    </row>
    <row r="7" spans="1:25" ht="34.5" customHeight="1" x14ac:dyDescent="0.25">
      <c r="A7" s="596"/>
      <c r="B7" s="597"/>
      <c r="C7" s="634"/>
      <c r="D7" s="95" t="s">
        <v>12</v>
      </c>
      <c r="E7" s="95" t="s">
        <v>13</v>
      </c>
      <c r="F7" s="95" t="s">
        <v>12</v>
      </c>
      <c r="G7" s="95" t="s">
        <v>13</v>
      </c>
      <c r="H7" s="95" t="s">
        <v>13</v>
      </c>
      <c r="I7" s="95" t="s">
        <v>12</v>
      </c>
      <c r="J7" s="95" t="s">
        <v>13</v>
      </c>
      <c r="K7" s="95" t="s">
        <v>12</v>
      </c>
      <c r="L7" s="95" t="s">
        <v>13</v>
      </c>
      <c r="M7" s="95" t="s">
        <v>12</v>
      </c>
      <c r="N7" s="95" t="s">
        <v>13</v>
      </c>
      <c r="O7" s="145" t="s">
        <v>12</v>
      </c>
      <c r="P7" s="145" t="s">
        <v>13</v>
      </c>
      <c r="Q7" s="95" t="s">
        <v>12</v>
      </c>
      <c r="R7" s="95" t="s">
        <v>13</v>
      </c>
      <c r="S7" s="95" t="s">
        <v>12</v>
      </c>
      <c r="T7" s="95" t="s">
        <v>13</v>
      </c>
      <c r="U7" s="145" t="s">
        <v>12</v>
      </c>
      <c r="V7" s="145" t="s">
        <v>13</v>
      </c>
      <c r="W7" s="95" t="s">
        <v>12</v>
      </c>
      <c r="X7" s="95" t="s">
        <v>13</v>
      </c>
      <c r="Y7" s="633"/>
    </row>
    <row r="8" spans="1:25" ht="15" customHeight="1" x14ac:dyDescent="0.25">
      <c r="A8" s="5">
        <v>1</v>
      </c>
      <c r="B8" s="5">
        <v>390930</v>
      </c>
      <c r="C8" s="6" t="s">
        <v>180</v>
      </c>
      <c r="D8" s="7">
        <v>0</v>
      </c>
      <c r="E8" s="8">
        <v>0</v>
      </c>
      <c r="F8" s="96"/>
      <c r="G8" s="97"/>
      <c r="H8" s="150">
        <v>0</v>
      </c>
      <c r="I8" s="97"/>
      <c r="J8" s="97"/>
      <c r="K8" s="96">
        <v>21707</v>
      </c>
      <c r="L8" s="97">
        <v>6834.0148099999997</v>
      </c>
      <c r="M8" s="97"/>
      <c r="N8" s="97"/>
      <c r="O8" s="97"/>
      <c r="P8" s="97"/>
      <c r="Q8" s="97"/>
      <c r="R8" s="97"/>
      <c r="S8" s="97"/>
      <c r="T8" s="97"/>
      <c r="U8" s="96"/>
      <c r="V8" s="97"/>
      <c r="W8" s="96">
        <v>0</v>
      </c>
      <c r="X8" s="97">
        <v>0</v>
      </c>
      <c r="Y8" s="219">
        <f>E8+L8+X8</f>
        <v>6834.0148099999997</v>
      </c>
    </row>
    <row r="9" spans="1:25" ht="15" customHeight="1" x14ac:dyDescent="0.25">
      <c r="A9" s="5">
        <v>2</v>
      </c>
      <c r="B9" s="5">
        <v>390800</v>
      </c>
      <c r="C9" s="6" t="s">
        <v>89</v>
      </c>
      <c r="D9" s="7">
        <v>1300</v>
      </c>
      <c r="E9" s="8">
        <v>31003.787000000008</v>
      </c>
      <c r="F9" s="98"/>
      <c r="G9" s="98"/>
      <c r="H9" s="150">
        <v>0</v>
      </c>
      <c r="I9" s="98"/>
      <c r="J9" s="98"/>
      <c r="K9" s="96">
        <v>66192</v>
      </c>
      <c r="L9" s="97">
        <v>20839.227360000001</v>
      </c>
      <c r="M9" s="97"/>
      <c r="N9" s="97"/>
      <c r="O9" s="97"/>
      <c r="P9" s="97"/>
      <c r="Q9" s="97"/>
      <c r="R9" s="97"/>
      <c r="S9" s="97"/>
      <c r="T9" s="97"/>
      <c r="U9" s="96"/>
      <c r="V9" s="97"/>
      <c r="W9" s="96">
        <v>26000</v>
      </c>
      <c r="X9" s="97">
        <v>30898.14</v>
      </c>
      <c r="Y9" s="219">
        <f t="shared" ref="Y9:Y72" si="0">E9+L9+X9</f>
        <v>82741.154360000015</v>
      </c>
    </row>
    <row r="10" spans="1:25" ht="15" customHeight="1" x14ac:dyDescent="0.25">
      <c r="A10" s="5">
        <v>3</v>
      </c>
      <c r="B10" s="5">
        <v>391100</v>
      </c>
      <c r="C10" s="6" t="s">
        <v>103</v>
      </c>
      <c r="D10" s="7">
        <v>0</v>
      </c>
      <c r="E10" s="8">
        <v>67932</v>
      </c>
      <c r="F10" s="98"/>
      <c r="G10" s="98"/>
      <c r="H10" s="150">
        <v>66040</v>
      </c>
      <c r="I10" s="98"/>
      <c r="J10" s="98"/>
      <c r="K10" s="96">
        <v>2828</v>
      </c>
      <c r="L10" s="97">
        <v>890.33924000000002</v>
      </c>
      <c r="M10" s="97"/>
      <c r="N10" s="97"/>
      <c r="O10" s="97"/>
      <c r="P10" s="97"/>
      <c r="Q10" s="97"/>
      <c r="R10" s="97"/>
      <c r="S10" s="97"/>
      <c r="T10" s="97"/>
      <c r="U10" s="96"/>
      <c r="V10" s="97"/>
      <c r="W10" s="96">
        <v>0</v>
      </c>
      <c r="X10" s="97">
        <v>0</v>
      </c>
      <c r="Y10" s="219">
        <f t="shared" si="0"/>
        <v>68822.339240000001</v>
      </c>
    </row>
    <row r="11" spans="1:25" ht="15" customHeight="1" x14ac:dyDescent="0.25">
      <c r="A11" s="5">
        <v>4</v>
      </c>
      <c r="B11" s="5">
        <v>390470</v>
      </c>
      <c r="C11" s="6" t="s">
        <v>88</v>
      </c>
      <c r="D11" s="7">
        <v>10200</v>
      </c>
      <c r="E11" s="8">
        <v>131788.30799999999</v>
      </c>
      <c r="F11" s="98"/>
      <c r="G11" s="98"/>
      <c r="H11" s="150">
        <v>0</v>
      </c>
      <c r="I11" s="98"/>
      <c r="J11" s="98"/>
      <c r="K11" s="96">
        <v>192460</v>
      </c>
      <c r="L11" s="97">
        <v>60592.181799999998</v>
      </c>
      <c r="M11" s="97"/>
      <c r="N11" s="97"/>
      <c r="O11" s="97"/>
      <c r="P11" s="97"/>
      <c r="Q11" s="97"/>
      <c r="R11" s="97"/>
      <c r="S11" s="97"/>
      <c r="T11" s="97"/>
      <c r="U11" s="96"/>
      <c r="V11" s="97"/>
      <c r="W11" s="96">
        <v>0</v>
      </c>
      <c r="X11" s="97">
        <v>0</v>
      </c>
      <c r="Y11" s="219">
        <f t="shared" si="0"/>
        <v>192380.48979999998</v>
      </c>
    </row>
    <row r="12" spans="1:25" ht="15" customHeight="1" x14ac:dyDescent="0.25">
      <c r="A12" s="5">
        <v>5</v>
      </c>
      <c r="B12" s="5">
        <v>390762</v>
      </c>
      <c r="C12" s="6" t="s">
        <v>111</v>
      </c>
      <c r="D12" s="7">
        <v>0</v>
      </c>
      <c r="E12" s="8">
        <v>0</v>
      </c>
      <c r="F12" s="98"/>
      <c r="G12" s="98"/>
      <c r="H12" s="150">
        <v>0</v>
      </c>
      <c r="I12" s="98"/>
      <c r="J12" s="98"/>
      <c r="K12" s="96">
        <f>1216+U12</f>
        <v>2366</v>
      </c>
      <c r="L12" s="97">
        <f>382.83328+V12</f>
        <v>23274.73328</v>
      </c>
      <c r="M12" s="97"/>
      <c r="N12" s="97"/>
      <c r="O12" s="97"/>
      <c r="P12" s="97"/>
      <c r="Q12" s="97"/>
      <c r="R12" s="97"/>
      <c r="S12" s="97"/>
      <c r="T12" s="97"/>
      <c r="U12" s="96">
        <v>1150</v>
      </c>
      <c r="V12" s="97">
        <v>22891.9</v>
      </c>
      <c r="W12" s="96">
        <v>0</v>
      </c>
      <c r="X12" s="97">
        <v>0</v>
      </c>
      <c r="Y12" s="219">
        <f t="shared" si="0"/>
        <v>23274.73328</v>
      </c>
    </row>
    <row r="13" spans="1:25" ht="15" customHeight="1" x14ac:dyDescent="0.25">
      <c r="A13" s="5">
        <v>6</v>
      </c>
      <c r="B13" s="5">
        <v>390050</v>
      </c>
      <c r="C13" s="6" t="s">
        <v>98</v>
      </c>
      <c r="D13" s="7">
        <v>25500</v>
      </c>
      <c r="E13" s="8">
        <v>66554.975000000006</v>
      </c>
      <c r="F13" s="98"/>
      <c r="G13" s="98"/>
      <c r="H13" s="150">
        <v>15000</v>
      </c>
      <c r="I13" s="98"/>
      <c r="J13" s="98"/>
      <c r="K13" s="96">
        <v>51556</v>
      </c>
      <c r="L13" s="97">
        <v>16231.375480000001</v>
      </c>
      <c r="M13" s="97"/>
      <c r="N13" s="97"/>
      <c r="O13" s="97"/>
      <c r="P13" s="97"/>
      <c r="Q13" s="97"/>
      <c r="R13" s="97"/>
      <c r="S13" s="97"/>
      <c r="T13" s="97"/>
      <c r="U13" s="96"/>
      <c r="V13" s="97"/>
      <c r="W13" s="96">
        <v>0</v>
      </c>
      <c r="X13" s="97">
        <v>0</v>
      </c>
      <c r="Y13" s="219">
        <f t="shared" si="0"/>
        <v>82786.350480000008</v>
      </c>
    </row>
    <row r="14" spans="1:25" ht="15" customHeight="1" x14ac:dyDescent="0.25">
      <c r="A14" s="5">
        <v>7</v>
      </c>
      <c r="B14" s="5">
        <v>390070</v>
      </c>
      <c r="C14" s="6" t="s">
        <v>87</v>
      </c>
      <c r="D14" s="7">
        <v>0</v>
      </c>
      <c r="E14" s="8">
        <v>38815.850000000006</v>
      </c>
      <c r="F14" s="98"/>
      <c r="G14" s="98"/>
      <c r="H14" s="150">
        <v>0</v>
      </c>
      <c r="I14" s="98"/>
      <c r="J14" s="98"/>
      <c r="K14" s="96">
        <v>0</v>
      </c>
      <c r="L14" s="97">
        <v>0</v>
      </c>
      <c r="M14" s="97"/>
      <c r="N14" s="97"/>
      <c r="O14" s="97"/>
      <c r="P14" s="97"/>
      <c r="Q14" s="97"/>
      <c r="R14" s="97"/>
      <c r="S14" s="97"/>
      <c r="T14" s="97"/>
      <c r="U14" s="96"/>
      <c r="V14" s="97"/>
      <c r="W14" s="96">
        <v>52000</v>
      </c>
      <c r="X14" s="97">
        <v>61796.28</v>
      </c>
      <c r="Y14" s="219">
        <f t="shared" si="0"/>
        <v>100612.13</v>
      </c>
    </row>
    <row r="15" spans="1:25" ht="15" customHeight="1" x14ac:dyDescent="0.25">
      <c r="A15" s="5">
        <v>8</v>
      </c>
      <c r="B15" s="5">
        <v>390520</v>
      </c>
      <c r="C15" s="6" t="s">
        <v>112</v>
      </c>
      <c r="D15" s="7">
        <v>0</v>
      </c>
      <c r="E15" s="8">
        <v>0</v>
      </c>
      <c r="F15" s="98"/>
      <c r="G15" s="98"/>
      <c r="H15" s="150">
        <v>0</v>
      </c>
      <c r="I15" s="98"/>
      <c r="J15" s="98"/>
      <c r="K15" s="96">
        <v>0</v>
      </c>
      <c r="L15" s="97">
        <v>0</v>
      </c>
      <c r="M15" s="97"/>
      <c r="N15" s="97"/>
      <c r="O15" s="97"/>
      <c r="P15" s="97"/>
      <c r="Q15" s="97"/>
      <c r="R15" s="97"/>
      <c r="S15" s="97"/>
      <c r="T15" s="97"/>
      <c r="U15" s="96"/>
      <c r="V15" s="97"/>
      <c r="W15" s="96">
        <v>55600</v>
      </c>
      <c r="X15" s="97">
        <v>37296.480000000003</v>
      </c>
      <c r="Y15" s="219">
        <f t="shared" si="0"/>
        <v>37296.480000000003</v>
      </c>
    </row>
    <row r="16" spans="1:25" ht="15" customHeight="1" x14ac:dyDescent="0.25">
      <c r="A16" s="5">
        <v>9</v>
      </c>
      <c r="B16" s="5">
        <v>390130</v>
      </c>
      <c r="C16" s="6" t="s">
        <v>113</v>
      </c>
      <c r="D16" s="7">
        <v>5017</v>
      </c>
      <c r="E16" s="8">
        <v>6643.9629299999997</v>
      </c>
      <c r="F16" s="98"/>
      <c r="G16" s="98"/>
      <c r="H16" s="150">
        <v>0</v>
      </c>
      <c r="I16" s="98"/>
      <c r="J16" s="98"/>
      <c r="K16" s="96">
        <v>70841</v>
      </c>
      <c r="L16" s="97">
        <v>22302.872030000002</v>
      </c>
      <c r="M16" s="97"/>
      <c r="N16" s="97"/>
      <c r="O16" s="97"/>
      <c r="P16" s="97"/>
      <c r="Q16" s="97"/>
      <c r="R16" s="97"/>
      <c r="S16" s="97"/>
      <c r="T16" s="97"/>
      <c r="U16" s="96"/>
      <c r="V16" s="97"/>
      <c r="W16" s="96">
        <v>0</v>
      </c>
      <c r="X16" s="97">
        <v>0</v>
      </c>
      <c r="Y16" s="219">
        <f t="shared" si="0"/>
        <v>28946.83496</v>
      </c>
    </row>
    <row r="17" spans="1:25" ht="15" customHeight="1" x14ac:dyDescent="0.25">
      <c r="A17" s="5">
        <v>10</v>
      </c>
      <c r="B17" s="5">
        <v>390680</v>
      </c>
      <c r="C17" s="6" t="s">
        <v>114</v>
      </c>
      <c r="D17" s="7">
        <v>12356</v>
      </c>
      <c r="E17" s="8">
        <v>16362.927240000001</v>
      </c>
      <c r="F17" s="98"/>
      <c r="G17" s="98"/>
      <c r="H17" s="150">
        <v>0</v>
      </c>
      <c r="I17" s="98"/>
      <c r="J17" s="98"/>
      <c r="K17" s="96">
        <v>79061</v>
      </c>
      <c r="L17" s="97">
        <v>24890.77463</v>
      </c>
      <c r="M17" s="97"/>
      <c r="N17" s="97"/>
      <c r="O17" s="97"/>
      <c r="P17" s="97"/>
      <c r="Q17" s="97"/>
      <c r="R17" s="97"/>
      <c r="S17" s="97"/>
      <c r="T17" s="97"/>
      <c r="U17" s="96"/>
      <c r="V17" s="97"/>
      <c r="W17" s="96">
        <v>0</v>
      </c>
      <c r="X17" s="97">
        <v>0</v>
      </c>
      <c r="Y17" s="219">
        <f t="shared" si="0"/>
        <v>41253.701870000004</v>
      </c>
    </row>
    <row r="18" spans="1:25" ht="15" customHeight="1" x14ac:dyDescent="0.25">
      <c r="A18" s="5">
        <v>11</v>
      </c>
      <c r="B18" s="5">
        <v>390700</v>
      </c>
      <c r="C18" s="6" t="s">
        <v>115</v>
      </c>
      <c r="D18" s="7">
        <v>590</v>
      </c>
      <c r="E18" s="8">
        <v>781.33109999999999</v>
      </c>
      <c r="F18" s="98"/>
      <c r="G18" s="98"/>
      <c r="H18" s="150">
        <v>0</v>
      </c>
      <c r="I18" s="98"/>
      <c r="J18" s="98"/>
      <c r="K18" s="96">
        <v>1800</v>
      </c>
      <c r="L18" s="97">
        <v>566.69399999999996</v>
      </c>
      <c r="M18" s="97"/>
      <c r="N18" s="97"/>
      <c r="O18" s="97"/>
      <c r="P18" s="97"/>
      <c r="Q18" s="97"/>
      <c r="R18" s="97"/>
      <c r="S18" s="97"/>
      <c r="T18" s="97"/>
      <c r="U18" s="96"/>
      <c r="V18" s="97"/>
      <c r="W18" s="96">
        <v>0</v>
      </c>
      <c r="X18" s="97">
        <v>0</v>
      </c>
      <c r="Y18" s="219">
        <f t="shared" si="0"/>
        <v>1348.0250999999998</v>
      </c>
    </row>
    <row r="19" spans="1:25" ht="15" customHeight="1" x14ac:dyDescent="0.25">
      <c r="A19" s="5">
        <v>12</v>
      </c>
      <c r="B19" s="5">
        <v>391610</v>
      </c>
      <c r="C19" s="6" t="s">
        <v>104</v>
      </c>
      <c r="D19" s="7">
        <v>0</v>
      </c>
      <c r="E19" s="8">
        <v>24696.440000000002</v>
      </c>
      <c r="F19" s="98"/>
      <c r="G19" s="98"/>
      <c r="H19" s="150">
        <v>0</v>
      </c>
      <c r="I19" s="98"/>
      <c r="J19" s="98"/>
      <c r="K19" s="96">
        <v>21615</v>
      </c>
      <c r="L19" s="97">
        <v>6805.0504500000006</v>
      </c>
      <c r="M19" s="97"/>
      <c r="N19" s="97"/>
      <c r="O19" s="97"/>
      <c r="P19" s="97"/>
      <c r="Q19" s="97"/>
      <c r="R19" s="97"/>
      <c r="S19" s="97"/>
      <c r="T19" s="97"/>
      <c r="U19" s="96"/>
      <c r="V19" s="97"/>
      <c r="W19" s="96">
        <v>0</v>
      </c>
      <c r="X19" s="97">
        <v>0</v>
      </c>
      <c r="Y19" s="219">
        <f t="shared" si="0"/>
        <v>31501.490450000005</v>
      </c>
    </row>
    <row r="20" spans="1:25" ht="15" customHeight="1" x14ac:dyDescent="0.25">
      <c r="A20" s="5">
        <v>13</v>
      </c>
      <c r="B20" s="5">
        <v>390440</v>
      </c>
      <c r="C20" s="238" t="s">
        <v>95</v>
      </c>
      <c r="D20" s="7">
        <v>133543</v>
      </c>
      <c r="E20" s="8">
        <v>213660.26966999998</v>
      </c>
      <c r="F20" s="98"/>
      <c r="G20" s="98"/>
      <c r="H20" s="150">
        <v>26000</v>
      </c>
      <c r="I20" s="98"/>
      <c r="J20" s="98"/>
      <c r="K20" s="96">
        <v>139848</v>
      </c>
      <c r="L20" s="97">
        <v>44028.345840000002</v>
      </c>
      <c r="M20" s="97"/>
      <c r="N20" s="97"/>
      <c r="O20" s="97"/>
      <c r="P20" s="97"/>
      <c r="Q20" s="97"/>
      <c r="R20" s="97"/>
      <c r="S20" s="97"/>
      <c r="T20" s="97"/>
      <c r="U20" s="96"/>
      <c r="V20" s="97"/>
      <c r="W20" s="96">
        <v>38121</v>
      </c>
      <c r="X20" s="97">
        <v>26518.111230000002</v>
      </c>
      <c r="Y20" s="219">
        <f t="shared" si="0"/>
        <v>284206.72673999995</v>
      </c>
    </row>
    <row r="21" spans="1:25" ht="15" customHeight="1" x14ac:dyDescent="0.25">
      <c r="A21" s="5">
        <v>14</v>
      </c>
      <c r="B21" s="5">
        <v>390100</v>
      </c>
      <c r="C21" s="238" t="s">
        <v>93</v>
      </c>
      <c r="D21" s="7">
        <v>107695</v>
      </c>
      <c r="E21" s="8">
        <v>146276.45858000001</v>
      </c>
      <c r="F21" s="98"/>
      <c r="G21" s="98"/>
      <c r="H21" s="150">
        <v>0</v>
      </c>
      <c r="I21" s="98"/>
      <c r="J21" s="98"/>
      <c r="K21" s="96">
        <v>112780</v>
      </c>
      <c r="L21" s="97">
        <v>35506.527399999999</v>
      </c>
      <c r="M21" s="97"/>
      <c r="N21" s="97"/>
      <c r="O21" s="97"/>
      <c r="P21" s="97"/>
      <c r="Q21" s="97"/>
      <c r="R21" s="97"/>
      <c r="S21" s="97"/>
      <c r="T21" s="97"/>
      <c r="U21" s="96"/>
      <c r="V21" s="97"/>
      <c r="W21" s="96">
        <v>30474</v>
      </c>
      <c r="X21" s="97">
        <v>21198.62862</v>
      </c>
      <c r="Y21" s="219">
        <f t="shared" si="0"/>
        <v>202981.6146</v>
      </c>
    </row>
    <row r="22" spans="1:25" ht="15" customHeight="1" x14ac:dyDescent="0.25">
      <c r="A22" s="5">
        <v>15</v>
      </c>
      <c r="B22" s="5">
        <v>390090</v>
      </c>
      <c r="C22" s="238" t="s">
        <v>92</v>
      </c>
      <c r="D22" s="7">
        <v>106259</v>
      </c>
      <c r="E22" s="8">
        <v>144073.05669</v>
      </c>
      <c r="F22" s="98"/>
      <c r="G22" s="98"/>
      <c r="H22" s="150">
        <v>0</v>
      </c>
      <c r="I22" s="98"/>
      <c r="J22" s="98"/>
      <c r="K22" s="96">
        <v>111277</v>
      </c>
      <c r="L22" s="97">
        <v>35033.337909999995</v>
      </c>
      <c r="M22" s="97"/>
      <c r="N22" s="97"/>
      <c r="O22" s="97"/>
      <c r="P22" s="97"/>
      <c r="Q22" s="97"/>
      <c r="R22" s="97"/>
      <c r="S22" s="97"/>
      <c r="T22" s="97"/>
      <c r="U22" s="96"/>
      <c r="V22" s="97"/>
      <c r="W22" s="96">
        <v>30128</v>
      </c>
      <c r="X22" s="97">
        <v>20957.940640000001</v>
      </c>
      <c r="Y22" s="219">
        <f t="shared" si="0"/>
        <v>200064.33523999999</v>
      </c>
    </row>
    <row r="23" spans="1:25" ht="15" customHeight="1" x14ac:dyDescent="0.25">
      <c r="A23" s="5">
        <v>16</v>
      </c>
      <c r="B23" s="5">
        <v>390400</v>
      </c>
      <c r="C23" s="238" t="s">
        <v>94</v>
      </c>
      <c r="D23" s="7">
        <v>228313</v>
      </c>
      <c r="E23" s="8">
        <v>317134.11126999999</v>
      </c>
      <c r="F23" s="98"/>
      <c r="G23" s="98"/>
      <c r="H23" s="150">
        <v>0</v>
      </c>
      <c r="I23" s="98"/>
      <c r="J23" s="98"/>
      <c r="K23" s="96">
        <v>239094</v>
      </c>
      <c r="L23" s="97">
        <v>75273.964019999999</v>
      </c>
      <c r="M23" s="97"/>
      <c r="N23" s="97"/>
      <c r="O23" s="97"/>
      <c r="P23" s="97"/>
      <c r="Q23" s="97"/>
      <c r="R23" s="97"/>
      <c r="S23" s="97"/>
      <c r="T23" s="97"/>
      <c r="U23" s="96"/>
      <c r="V23" s="97"/>
      <c r="W23" s="96">
        <v>65091</v>
      </c>
      <c r="X23" s="97">
        <v>45278.610780000003</v>
      </c>
      <c r="Y23" s="219">
        <f t="shared" si="0"/>
        <v>437686.68607</v>
      </c>
    </row>
    <row r="24" spans="1:25" ht="15" customHeight="1" x14ac:dyDescent="0.25">
      <c r="A24" s="5">
        <v>17</v>
      </c>
      <c r="B24" s="5">
        <v>390110</v>
      </c>
      <c r="C24" s="238" t="s">
        <v>99</v>
      </c>
      <c r="D24" s="7">
        <v>17231</v>
      </c>
      <c r="E24" s="8">
        <v>22883.731199999998</v>
      </c>
      <c r="F24" s="98"/>
      <c r="G24" s="98"/>
      <c r="H24" s="150">
        <v>0</v>
      </c>
      <c r="I24" s="98"/>
      <c r="J24" s="98"/>
      <c r="K24" s="96">
        <v>18045</v>
      </c>
      <c r="L24" s="97">
        <v>5681.1073499999993</v>
      </c>
      <c r="M24" s="97"/>
      <c r="N24" s="97"/>
      <c r="O24" s="97"/>
      <c r="P24" s="97"/>
      <c r="Q24" s="97"/>
      <c r="R24" s="97"/>
      <c r="S24" s="97"/>
      <c r="T24" s="97"/>
      <c r="U24" s="96"/>
      <c r="V24" s="97"/>
      <c r="W24" s="96">
        <v>4886</v>
      </c>
      <c r="X24" s="97">
        <v>3398.84818</v>
      </c>
      <c r="Y24" s="219">
        <f t="shared" si="0"/>
        <v>31963.686729999998</v>
      </c>
    </row>
    <row r="25" spans="1:25" ht="15" customHeight="1" x14ac:dyDescent="0.25">
      <c r="A25" s="5">
        <v>18</v>
      </c>
      <c r="B25" s="5">
        <v>390890</v>
      </c>
      <c r="C25" s="238" t="s">
        <v>116</v>
      </c>
      <c r="D25" s="7">
        <v>162260</v>
      </c>
      <c r="E25" s="8">
        <v>221282.60881000001</v>
      </c>
      <c r="F25" s="98"/>
      <c r="G25" s="98"/>
      <c r="H25" s="150">
        <v>0</v>
      </c>
      <c r="I25" s="98"/>
      <c r="J25" s="98"/>
      <c r="K25" s="96">
        <f>169922+U25</f>
        <v>170422</v>
      </c>
      <c r="L25" s="97">
        <f>53499.07527+V25</f>
        <v>63452.075270000001</v>
      </c>
      <c r="M25" s="97"/>
      <c r="N25" s="97"/>
      <c r="O25" s="97"/>
      <c r="P25" s="97"/>
      <c r="Q25" s="97"/>
      <c r="R25" s="97"/>
      <c r="S25" s="97"/>
      <c r="T25" s="97"/>
      <c r="U25" s="96">
        <v>500</v>
      </c>
      <c r="V25" s="97">
        <v>9953</v>
      </c>
      <c r="W25" s="96">
        <v>46368</v>
      </c>
      <c r="X25" s="97">
        <v>32254.971839999998</v>
      </c>
      <c r="Y25" s="219">
        <f t="shared" si="0"/>
        <v>316989.65592000005</v>
      </c>
    </row>
    <row r="26" spans="1:25" ht="15" customHeight="1" x14ac:dyDescent="0.25">
      <c r="A26" s="5">
        <v>19</v>
      </c>
      <c r="B26" s="5">
        <v>390200</v>
      </c>
      <c r="C26" s="238" t="s">
        <v>29</v>
      </c>
      <c r="D26" s="7">
        <v>34462</v>
      </c>
      <c r="E26" s="8">
        <v>46133.912399999994</v>
      </c>
      <c r="F26" s="98"/>
      <c r="G26" s="98"/>
      <c r="H26" s="150">
        <v>0</v>
      </c>
      <c r="I26" s="98"/>
      <c r="J26" s="98"/>
      <c r="K26" s="96">
        <v>36090</v>
      </c>
      <c r="L26" s="97">
        <v>11362.214699999999</v>
      </c>
      <c r="M26" s="97"/>
      <c r="N26" s="97"/>
      <c r="O26" s="97"/>
      <c r="P26" s="97"/>
      <c r="Q26" s="97"/>
      <c r="R26" s="97"/>
      <c r="S26" s="97"/>
      <c r="T26" s="97"/>
      <c r="U26" s="96"/>
      <c r="V26" s="97"/>
      <c r="W26" s="96">
        <v>9780</v>
      </c>
      <c r="X26" s="97">
        <v>6803.2614000000003</v>
      </c>
      <c r="Y26" s="219">
        <f t="shared" si="0"/>
        <v>64299.388499999994</v>
      </c>
    </row>
    <row r="27" spans="1:25" ht="15" customHeight="1" x14ac:dyDescent="0.25">
      <c r="A27" s="5">
        <v>20</v>
      </c>
      <c r="B27" s="5">
        <v>390160</v>
      </c>
      <c r="C27" s="238" t="s">
        <v>30</v>
      </c>
      <c r="D27" s="7">
        <v>35898</v>
      </c>
      <c r="E27" s="8">
        <v>48972.164290000001</v>
      </c>
      <c r="F27" s="98"/>
      <c r="G27" s="98"/>
      <c r="H27" s="150">
        <v>0</v>
      </c>
      <c r="I27" s="98"/>
      <c r="J27" s="98"/>
      <c r="K27" s="96">
        <v>37593</v>
      </c>
      <c r="L27" s="97">
        <v>11835.404189999999</v>
      </c>
      <c r="M27" s="97"/>
      <c r="N27" s="97"/>
      <c r="O27" s="97"/>
      <c r="P27" s="97"/>
      <c r="Q27" s="97"/>
      <c r="R27" s="97"/>
      <c r="S27" s="97"/>
      <c r="T27" s="97"/>
      <c r="U27" s="96"/>
      <c r="V27" s="97"/>
      <c r="W27" s="96">
        <v>10226</v>
      </c>
      <c r="X27" s="97">
        <v>7113.5123800000001</v>
      </c>
      <c r="Y27" s="219">
        <f t="shared" si="0"/>
        <v>67921.080860000002</v>
      </c>
    </row>
    <row r="28" spans="1:25" ht="15" customHeight="1" x14ac:dyDescent="0.25">
      <c r="A28" s="5">
        <v>21</v>
      </c>
      <c r="B28" s="201">
        <v>390210</v>
      </c>
      <c r="C28" s="238" t="s">
        <v>31</v>
      </c>
      <c r="D28" s="7">
        <v>35898</v>
      </c>
      <c r="E28" s="8">
        <v>48672.564290000002</v>
      </c>
      <c r="F28" s="98"/>
      <c r="G28" s="98"/>
      <c r="H28" s="150">
        <v>0</v>
      </c>
      <c r="I28" s="98"/>
      <c r="J28" s="98"/>
      <c r="K28" s="96">
        <v>37593</v>
      </c>
      <c r="L28" s="97">
        <v>11835.404189999999</v>
      </c>
      <c r="M28" s="97"/>
      <c r="N28" s="97"/>
      <c r="O28" s="97"/>
      <c r="P28" s="97"/>
      <c r="Q28" s="97"/>
      <c r="R28" s="97"/>
      <c r="S28" s="97"/>
      <c r="T28" s="97"/>
      <c r="U28" s="96"/>
      <c r="V28" s="97"/>
      <c r="W28" s="96">
        <v>10235</v>
      </c>
      <c r="X28" s="97">
        <v>7119.7730499999998</v>
      </c>
      <c r="Y28" s="219">
        <f t="shared" si="0"/>
        <v>67627.741529999999</v>
      </c>
    </row>
    <row r="29" spans="1:25" ht="15" customHeight="1" x14ac:dyDescent="0.25">
      <c r="A29" s="5">
        <v>22</v>
      </c>
      <c r="B29" s="5">
        <v>390220</v>
      </c>
      <c r="C29" s="238" t="s">
        <v>181</v>
      </c>
      <c r="D29" s="7">
        <v>99079</v>
      </c>
      <c r="E29" s="8">
        <v>132624.77869000001</v>
      </c>
      <c r="F29" s="98"/>
      <c r="G29" s="98"/>
      <c r="H29" s="150">
        <v>0</v>
      </c>
      <c r="I29" s="98"/>
      <c r="J29" s="98"/>
      <c r="K29" s="96">
        <v>103758</v>
      </c>
      <c r="L29" s="97">
        <v>32666.131140000001</v>
      </c>
      <c r="M29" s="97"/>
      <c r="N29" s="97"/>
      <c r="O29" s="97"/>
      <c r="P29" s="97"/>
      <c r="Q29" s="97"/>
      <c r="R29" s="97"/>
      <c r="S29" s="97"/>
      <c r="T29" s="97"/>
      <c r="U29" s="96"/>
      <c r="V29" s="97"/>
      <c r="W29" s="96">
        <v>28158</v>
      </c>
      <c r="X29" s="97">
        <v>19587.54954</v>
      </c>
      <c r="Y29" s="219">
        <f t="shared" si="0"/>
        <v>184878.45937000003</v>
      </c>
    </row>
    <row r="30" spans="1:25" ht="15" customHeight="1" x14ac:dyDescent="0.25">
      <c r="A30" s="5">
        <v>23</v>
      </c>
      <c r="B30" s="5">
        <v>390230</v>
      </c>
      <c r="C30" s="238" t="s">
        <v>33</v>
      </c>
      <c r="D30" s="7">
        <v>41642</v>
      </c>
      <c r="E30" s="8">
        <v>60362.464690000001</v>
      </c>
      <c r="F30" s="98"/>
      <c r="G30" s="98"/>
      <c r="H30" s="150">
        <v>0</v>
      </c>
      <c r="I30" s="98"/>
      <c r="J30" s="98"/>
      <c r="K30" s="96">
        <v>43608</v>
      </c>
      <c r="L30" s="97">
        <v>13729.10664</v>
      </c>
      <c r="M30" s="97"/>
      <c r="N30" s="97"/>
      <c r="O30" s="97"/>
      <c r="P30" s="97"/>
      <c r="Q30" s="97"/>
      <c r="R30" s="97"/>
      <c r="S30" s="97"/>
      <c r="T30" s="97"/>
      <c r="U30" s="96"/>
      <c r="V30" s="97"/>
      <c r="W30" s="96">
        <v>11654</v>
      </c>
      <c r="X30" s="97">
        <v>8106.8720199999998</v>
      </c>
      <c r="Y30" s="219">
        <f t="shared" si="0"/>
        <v>82198.443350000001</v>
      </c>
    </row>
    <row r="31" spans="1:25" ht="15" customHeight="1" x14ac:dyDescent="0.25">
      <c r="A31" s="5">
        <v>24</v>
      </c>
      <c r="B31" s="5">
        <v>390240</v>
      </c>
      <c r="C31" s="238" t="s">
        <v>34</v>
      </c>
      <c r="D31" s="7">
        <v>45950</v>
      </c>
      <c r="E31" s="8">
        <v>64938.127489999999</v>
      </c>
      <c r="F31" s="98"/>
      <c r="G31" s="98"/>
      <c r="H31" s="150">
        <v>0</v>
      </c>
      <c r="I31" s="98"/>
      <c r="J31" s="98"/>
      <c r="K31" s="96">
        <v>48120</v>
      </c>
      <c r="L31" s="97">
        <v>15149.6196</v>
      </c>
      <c r="M31" s="97"/>
      <c r="N31" s="97"/>
      <c r="O31" s="97"/>
      <c r="P31" s="97"/>
      <c r="Q31" s="97"/>
      <c r="R31" s="97"/>
      <c r="S31" s="97"/>
      <c r="T31" s="97"/>
      <c r="U31" s="96"/>
      <c r="V31" s="97"/>
      <c r="W31" s="96">
        <v>12909</v>
      </c>
      <c r="X31" s="97">
        <v>8979.8876700000001</v>
      </c>
      <c r="Y31" s="219">
        <f t="shared" si="0"/>
        <v>89067.634760000001</v>
      </c>
    </row>
    <row r="32" spans="1:25" ht="15" customHeight="1" x14ac:dyDescent="0.25">
      <c r="A32" s="5">
        <v>25</v>
      </c>
      <c r="B32" s="5">
        <v>390290</v>
      </c>
      <c r="C32" s="238" t="s">
        <v>35</v>
      </c>
      <c r="D32" s="7">
        <v>12923</v>
      </c>
      <c r="E32" s="8">
        <v>17868.648399999998</v>
      </c>
      <c r="F32" s="98"/>
      <c r="G32" s="98"/>
      <c r="H32" s="150">
        <v>0</v>
      </c>
      <c r="I32" s="98"/>
      <c r="J32" s="98"/>
      <c r="K32" s="96">
        <v>13534</v>
      </c>
      <c r="L32" s="97">
        <v>4260.9092199999996</v>
      </c>
      <c r="M32" s="97"/>
      <c r="N32" s="97"/>
      <c r="O32" s="97"/>
      <c r="P32" s="97"/>
      <c r="Q32" s="97"/>
      <c r="R32" s="97"/>
      <c r="S32" s="97"/>
      <c r="T32" s="97"/>
      <c r="U32" s="96"/>
      <c r="V32" s="97"/>
      <c r="W32" s="96">
        <v>3794</v>
      </c>
      <c r="X32" s="97">
        <v>2639.2202200000002</v>
      </c>
      <c r="Y32" s="219">
        <f t="shared" si="0"/>
        <v>24768.777839999999</v>
      </c>
    </row>
    <row r="33" spans="1:25" ht="15" customHeight="1" x14ac:dyDescent="0.25">
      <c r="A33" s="5">
        <v>26</v>
      </c>
      <c r="B33" s="5">
        <v>390380</v>
      </c>
      <c r="C33" s="238" t="s">
        <v>36</v>
      </c>
      <c r="D33" s="7">
        <v>8616</v>
      </c>
      <c r="E33" s="8">
        <v>11441.865599999999</v>
      </c>
      <c r="F33" s="98"/>
      <c r="G33" s="98"/>
      <c r="H33" s="150">
        <v>0</v>
      </c>
      <c r="I33" s="98"/>
      <c r="J33" s="98"/>
      <c r="K33" s="96">
        <v>9021</v>
      </c>
      <c r="L33" s="97">
        <v>2840.0814300000002</v>
      </c>
      <c r="M33" s="97"/>
      <c r="N33" s="97"/>
      <c r="O33" s="97"/>
      <c r="P33" s="97"/>
      <c r="Q33" s="97"/>
      <c r="R33" s="97"/>
      <c r="S33" s="97"/>
      <c r="T33" s="97"/>
      <c r="U33" s="96"/>
      <c r="V33" s="97"/>
      <c r="W33" s="96">
        <v>2396</v>
      </c>
      <c r="X33" s="97">
        <v>1666.72948</v>
      </c>
      <c r="Y33" s="219">
        <f t="shared" si="0"/>
        <v>15948.676509999999</v>
      </c>
    </row>
    <row r="34" spans="1:25" ht="15" customHeight="1" x14ac:dyDescent="0.25">
      <c r="A34" s="5">
        <v>27</v>
      </c>
      <c r="B34" s="5">
        <v>390370</v>
      </c>
      <c r="C34" s="238" t="s">
        <v>37</v>
      </c>
      <c r="D34" s="7">
        <v>14359</v>
      </c>
      <c r="E34" s="8">
        <v>19269.136000000002</v>
      </c>
      <c r="F34" s="98"/>
      <c r="G34" s="98"/>
      <c r="H34" s="150">
        <v>0</v>
      </c>
      <c r="I34" s="98"/>
      <c r="J34" s="98"/>
      <c r="K34" s="96">
        <v>15037</v>
      </c>
      <c r="L34" s="97">
        <v>4734.0987100000002</v>
      </c>
      <c r="M34" s="97"/>
      <c r="N34" s="97"/>
      <c r="O34" s="97"/>
      <c r="P34" s="97"/>
      <c r="Q34" s="97"/>
      <c r="R34" s="97"/>
      <c r="S34" s="97"/>
      <c r="T34" s="97"/>
      <c r="U34" s="96"/>
      <c r="V34" s="97"/>
      <c r="W34" s="96">
        <v>4064</v>
      </c>
      <c r="X34" s="97">
        <v>2827.0403199999996</v>
      </c>
      <c r="Y34" s="219">
        <f t="shared" si="0"/>
        <v>26830.275030000004</v>
      </c>
    </row>
    <row r="35" spans="1:25" ht="15" customHeight="1" x14ac:dyDescent="0.25">
      <c r="A35" s="5">
        <v>28</v>
      </c>
      <c r="B35" s="5">
        <v>390480</v>
      </c>
      <c r="C35" s="238" t="s">
        <v>96</v>
      </c>
      <c r="D35" s="7">
        <v>50258</v>
      </c>
      <c r="E35" s="8">
        <v>74120.510290000006</v>
      </c>
      <c r="F35" s="98"/>
      <c r="G35" s="98"/>
      <c r="H35" s="150">
        <v>0</v>
      </c>
      <c r="I35" s="98"/>
      <c r="J35" s="98"/>
      <c r="K35" s="96">
        <v>52631</v>
      </c>
      <c r="L35" s="97">
        <v>16569.817729999999</v>
      </c>
      <c r="M35" s="97"/>
      <c r="N35" s="97"/>
      <c r="O35" s="97"/>
      <c r="P35" s="97"/>
      <c r="Q35" s="97"/>
      <c r="R35" s="97"/>
      <c r="S35" s="97"/>
      <c r="T35" s="97"/>
      <c r="U35" s="96"/>
      <c r="V35" s="97"/>
      <c r="W35" s="96">
        <v>14452</v>
      </c>
      <c r="X35" s="97">
        <v>10053.24476</v>
      </c>
      <c r="Y35" s="219">
        <f t="shared" si="0"/>
        <v>100743.57278</v>
      </c>
    </row>
    <row r="36" spans="1:25" ht="15" customHeight="1" x14ac:dyDescent="0.25">
      <c r="A36" s="5">
        <v>29</v>
      </c>
      <c r="B36" s="5">
        <v>390260</v>
      </c>
      <c r="C36" s="238" t="s">
        <v>38</v>
      </c>
      <c r="D36" s="7">
        <v>22975</v>
      </c>
      <c r="E36" s="8">
        <v>30511.641600000003</v>
      </c>
      <c r="F36" s="98"/>
      <c r="G36" s="98"/>
      <c r="H36" s="150">
        <v>0</v>
      </c>
      <c r="I36" s="98"/>
      <c r="J36" s="98"/>
      <c r="K36" s="96">
        <v>24060</v>
      </c>
      <c r="L36" s="97">
        <v>7574.8098</v>
      </c>
      <c r="M36" s="97"/>
      <c r="N36" s="97"/>
      <c r="O36" s="97"/>
      <c r="P36" s="97"/>
      <c r="Q36" s="97"/>
      <c r="R36" s="97"/>
      <c r="S36" s="97"/>
      <c r="T36" s="97"/>
      <c r="U36" s="96"/>
      <c r="V36" s="97"/>
      <c r="W36" s="96">
        <v>6453</v>
      </c>
      <c r="X36" s="97">
        <v>4488.9003899999998</v>
      </c>
      <c r="Y36" s="219">
        <f t="shared" si="0"/>
        <v>42575.351790000008</v>
      </c>
    </row>
    <row r="37" spans="1:25" ht="15" customHeight="1" x14ac:dyDescent="0.25">
      <c r="A37" s="5">
        <v>30</v>
      </c>
      <c r="B37" s="5">
        <v>390250</v>
      </c>
      <c r="C37" s="238" t="s">
        <v>39</v>
      </c>
      <c r="D37" s="7">
        <v>17231</v>
      </c>
      <c r="E37" s="8">
        <v>23182.771199999999</v>
      </c>
      <c r="F37" s="98"/>
      <c r="G37" s="98"/>
      <c r="H37" s="150">
        <v>0</v>
      </c>
      <c r="I37" s="98"/>
      <c r="J37" s="98"/>
      <c r="K37" s="96">
        <v>18045</v>
      </c>
      <c r="L37" s="97">
        <v>5681.1073499999993</v>
      </c>
      <c r="M37" s="97"/>
      <c r="N37" s="97"/>
      <c r="O37" s="97"/>
      <c r="P37" s="97"/>
      <c r="Q37" s="97"/>
      <c r="R37" s="97"/>
      <c r="S37" s="97"/>
      <c r="T37" s="97"/>
      <c r="U37" s="96"/>
      <c r="V37" s="97"/>
      <c r="W37" s="96">
        <v>4784</v>
      </c>
      <c r="X37" s="97">
        <v>3327.89392</v>
      </c>
      <c r="Y37" s="219">
        <f t="shared" si="0"/>
        <v>32191.772469999996</v>
      </c>
    </row>
    <row r="38" spans="1:25" ht="15" customHeight="1" x14ac:dyDescent="0.25">
      <c r="A38" s="5">
        <v>31</v>
      </c>
      <c r="B38" s="5">
        <v>390300</v>
      </c>
      <c r="C38" s="238" t="s">
        <v>40</v>
      </c>
      <c r="D38" s="7">
        <v>15795</v>
      </c>
      <c r="E38" s="8">
        <v>21919.0736</v>
      </c>
      <c r="F38" s="98"/>
      <c r="G38" s="98"/>
      <c r="H38" s="150">
        <v>0</v>
      </c>
      <c r="I38" s="98"/>
      <c r="J38" s="98"/>
      <c r="K38" s="96">
        <v>16541</v>
      </c>
      <c r="L38" s="97">
        <v>5207.6030300000002</v>
      </c>
      <c r="M38" s="97"/>
      <c r="N38" s="97"/>
      <c r="O38" s="97"/>
      <c r="P38" s="97"/>
      <c r="Q38" s="97"/>
      <c r="R38" s="97"/>
      <c r="S38" s="97"/>
      <c r="T38" s="97"/>
      <c r="U38" s="96"/>
      <c r="V38" s="97"/>
      <c r="W38" s="96">
        <v>4438</v>
      </c>
      <c r="X38" s="97">
        <v>3087.2059399999998</v>
      </c>
      <c r="Y38" s="219">
        <f t="shared" si="0"/>
        <v>30213.882570000002</v>
      </c>
    </row>
    <row r="39" spans="1:25" ht="15" customHeight="1" x14ac:dyDescent="0.25">
      <c r="A39" s="5">
        <v>32</v>
      </c>
      <c r="B39" s="5">
        <v>390310</v>
      </c>
      <c r="C39" s="238" t="s">
        <v>117</v>
      </c>
      <c r="D39" s="7">
        <v>22975</v>
      </c>
      <c r="E39" s="8">
        <v>30511.641600000003</v>
      </c>
      <c r="F39" s="98"/>
      <c r="G39" s="98"/>
      <c r="H39" s="150">
        <v>0</v>
      </c>
      <c r="I39" s="98"/>
      <c r="J39" s="98"/>
      <c r="K39" s="96">
        <v>24060</v>
      </c>
      <c r="L39" s="97">
        <v>7574.8098</v>
      </c>
      <c r="M39" s="97"/>
      <c r="N39" s="97"/>
      <c r="O39" s="97"/>
      <c r="P39" s="97"/>
      <c r="Q39" s="97"/>
      <c r="R39" s="97"/>
      <c r="S39" s="97"/>
      <c r="T39" s="97"/>
      <c r="U39" s="96"/>
      <c r="V39" s="97"/>
      <c r="W39" s="96">
        <v>6442</v>
      </c>
      <c r="X39" s="97">
        <v>4481.2484599999998</v>
      </c>
      <c r="Y39" s="219">
        <f t="shared" si="0"/>
        <v>42567.699860000008</v>
      </c>
    </row>
    <row r="40" spans="1:25" ht="15" customHeight="1" x14ac:dyDescent="0.25">
      <c r="A40" s="5">
        <v>33</v>
      </c>
      <c r="B40" s="5">
        <v>390320</v>
      </c>
      <c r="C40" s="238" t="s">
        <v>102</v>
      </c>
      <c r="D40" s="7">
        <v>22975</v>
      </c>
      <c r="E40" s="8">
        <v>32092.891600000003</v>
      </c>
      <c r="F40" s="98"/>
      <c r="G40" s="98"/>
      <c r="H40" s="150">
        <v>0</v>
      </c>
      <c r="I40" s="98"/>
      <c r="J40" s="98"/>
      <c r="K40" s="96">
        <v>24060</v>
      </c>
      <c r="L40" s="97">
        <v>7574.8098</v>
      </c>
      <c r="M40" s="97"/>
      <c r="N40" s="97"/>
      <c r="O40" s="97"/>
      <c r="P40" s="97"/>
      <c r="Q40" s="97"/>
      <c r="R40" s="97"/>
      <c r="S40" s="97"/>
      <c r="T40" s="97"/>
      <c r="U40" s="96"/>
      <c r="V40" s="97"/>
      <c r="W40" s="96">
        <v>6446</v>
      </c>
      <c r="X40" s="97">
        <v>4484.0309800000005</v>
      </c>
      <c r="Y40" s="219">
        <f t="shared" si="0"/>
        <v>44151.732380000009</v>
      </c>
    </row>
    <row r="41" spans="1:25" ht="15" customHeight="1" x14ac:dyDescent="0.25">
      <c r="A41" s="5">
        <v>34</v>
      </c>
      <c r="B41" s="5">
        <v>390180</v>
      </c>
      <c r="C41" s="238" t="s">
        <v>43</v>
      </c>
      <c r="D41" s="7">
        <v>38770</v>
      </c>
      <c r="E41" s="8">
        <v>52631.399490000003</v>
      </c>
      <c r="F41" s="98"/>
      <c r="G41" s="98"/>
      <c r="H41" s="150">
        <v>0</v>
      </c>
      <c r="I41" s="98"/>
      <c r="J41" s="98"/>
      <c r="K41" s="96">
        <v>40601</v>
      </c>
      <c r="L41" s="97">
        <v>12782.412829999999</v>
      </c>
      <c r="M41" s="97"/>
      <c r="N41" s="97"/>
      <c r="O41" s="97"/>
      <c r="P41" s="97"/>
      <c r="Q41" s="97"/>
      <c r="R41" s="97"/>
      <c r="S41" s="97"/>
      <c r="T41" s="97"/>
      <c r="U41" s="96"/>
      <c r="V41" s="97"/>
      <c r="W41" s="96">
        <v>11013</v>
      </c>
      <c r="X41" s="97">
        <v>7660.9731900000006</v>
      </c>
      <c r="Y41" s="219">
        <f t="shared" si="0"/>
        <v>73074.785510000002</v>
      </c>
    </row>
    <row r="42" spans="1:25" ht="15" customHeight="1" x14ac:dyDescent="0.25">
      <c r="A42" s="5">
        <v>35</v>
      </c>
      <c r="B42" s="5">
        <v>390270</v>
      </c>
      <c r="C42" s="238" t="s">
        <v>100</v>
      </c>
      <c r="D42" s="7">
        <v>21539</v>
      </c>
      <c r="E42" s="8">
        <v>29912.284</v>
      </c>
      <c r="F42" s="98"/>
      <c r="G42" s="98"/>
      <c r="H42" s="150">
        <v>0</v>
      </c>
      <c r="I42" s="98"/>
      <c r="J42" s="98"/>
      <c r="K42" s="96">
        <v>22556</v>
      </c>
      <c r="L42" s="97">
        <v>7101.3054800000009</v>
      </c>
      <c r="M42" s="97"/>
      <c r="N42" s="97"/>
      <c r="O42" s="97"/>
      <c r="P42" s="97"/>
      <c r="Q42" s="97"/>
      <c r="R42" s="97"/>
      <c r="S42" s="97"/>
      <c r="T42" s="97"/>
      <c r="U42" s="96"/>
      <c r="V42" s="97"/>
      <c r="W42" s="96">
        <v>6237</v>
      </c>
      <c r="X42" s="97">
        <v>4338.6443099999997</v>
      </c>
      <c r="Y42" s="219">
        <f t="shared" si="0"/>
        <v>41352.233789999998</v>
      </c>
    </row>
    <row r="43" spans="1:25" ht="15" customHeight="1" x14ac:dyDescent="0.25">
      <c r="A43" s="5">
        <v>36</v>
      </c>
      <c r="B43" s="5">
        <v>390190</v>
      </c>
      <c r="C43" s="238" t="s">
        <v>45</v>
      </c>
      <c r="D43" s="7">
        <v>47386</v>
      </c>
      <c r="E43" s="8">
        <v>71210.175090000004</v>
      </c>
      <c r="F43" s="98"/>
      <c r="G43" s="98"/>
      <c r="H43" s="150">
        <v>0</v>
      </c>
      <c r="I43" s="98"/>
      <c r="J43" s="98"/>
      <c r="K43" s="96">
        <v>49623</v>
      </c>
      <c r="L43" s="97">
        <v>15622.809090000001</v>
      </c>
      <c r="M43" s="97"/>
      <c r="N43" s="97"/>
      <c r="O43" s="97"/>
      <c r="P43" s="97"/>
      <c r="Q43" s="97"/>
      <c r="R43" s="97"/>
      <c r="S43" s="97"/>
      <c r="T43" s="97"/>
      <c r="U43" s="96"/>
      <c r="V43" s="97"/>
      <c r="W43" s="96">
        <v>13552</v>
      </c>
      <c r="X43" s="97">
        <v>9427.1777600000005</v>
      </c>
      <c r="Y43" s="219">
        <f t="shared" si="0"/>
        <v>96260.161940000005</v>
      </c>
    </row>
    <row r="44" spans="1:25" ht="15" customHeight="1" x14ac:dyDescent="0.25">
      <c r="A44" s="5">
        <v>37</v>
      </c>
      <c r="B44" s="5">
        <v>390280</v>
      </c>
      <c r="C44" s="238" t="s">
        <v>101</v>
      </c>
      <c r="D44" s="7">
        <v>56001</v>
      </c>
      <c r="E44" s="8">
        <v>75900.200689999998</v>
      </c>
      <c r="F44" s="98"/>
      <c r="G44" s="98"/>
      <c r="H44" s="150">
        <v>0</v>
      </c>
      <c r="I44" s="98"/>
      <c r="J44" s="98"/>
      <c r="K44" s="96">
        <v>58646</v>
      </c>
      <c r="L44" s="97">
        <v>18463.52018</v>
      </c>
      <c r="M44" s="97"/>
      <c r="N44" s="97"/>
      <c r="O44" s="97"/>
      <c r="P44" s="97"/>
      <c r="Q44" s="97"/>
      <c r="R44" s="97"/>
      <c r="S44" s="97"/>
      <c r="T44" s="97"/>
      <c r="U44" s="96"/>
      <c r="V44" s="97"/>
      <c r="W44" s="96">
        <v>16082</v>
      </c>
      <c r="X44" s="97">
        <v>11187.121660000001</v>
      </c>
      <c r="Y44" s="219">
        <f t="shared" si="0"/>
        <v>105550.84252999999</v>
      </c>
    </row>
    <row r="45" spans="1:25" ht="15" customHeight="1" x14ac:dyDescent="0.25">
      <c r="A45" s="5">
        <v>38</v>
      </c>
      <c r="B45" s="5">
        <v>390600</v>
      </c>
      <c r="C45" s="238" t="s">
        <v>118</v>
      </c>
      <c r="D45" s="7">
        <v>18667</v>
      </c>
      <c r="E45" s="8">
        <v>25864.398799999999</v>
      </c>
      <c r="F45" s="98"/>
      <c r="G45" s="98"/>
      <c r="H45" s="150">
        <v>100</v>
      </c>
      <c r="I45" s="98"/>
      <c r="J45" s="98"/>
      <c r="K45" s="96">
        <v>19549</v>
      </c>
      <c r="L45" s="97">
        <v>6154.6116700000002</v>
      </c>
      <c r="M45" s="97"/>
      <c r="N45" s="97"/>
      <c r="O45" s="97"/>
      <c r="P45" s="97"/>
      <c r="Q45" s="97"/>
      <c r="R45" s="97"/>
      <c r="S45" s="97"/>
      <c r="T45" s="97"/>
      <c r="U45" s="96"/>
      <c r="V45" s="97"/>
      <c r="W45" s="96">
        <v>5378</v>
      </c>
      <c r="X45" s="97">
        <v>3741.0981400000001</v>
      </c>
      <c r="Y45" s="219">
        <f t="shared" si="0"/>
        <v>35760.108610000003</v>
      </c>
    </row>
    <row r="46" spans="1:25" ht="15" customHeight="1" x14ac:dyDescent="0.25">
      <c r="A46" s="5">
        <v>39</v>
      </c>
      <c r="B46" s="5">
        <v>390340</v>
      </c>
      <c r="C46" s="238" t="s">
        <v>119</v>
      </c>
      <c r="D46" s="7">
        <v>17231</v>
      </c>
      <c r="E46" s="8">
        <v>30240.481199999998</v>
      </c>
      <c r="F46" s="98"/>
      <c r="G46" s="98"/>
      <c r="H46" s="150">
        <v>0</v>
      </c>
      <c r="I46" s="98"/>
      <c r="J46" s="98"/>
      <c r="K46" s="96">
        <v>18045</v>
      </c>
      <c r="L46" s="97">
        <v>5681.1073499999993</v>
      </c>
      <c r="M46" s="97"/>
      <c r="N46" s="97"/>
      <c r="O46" s="97"/>
      <c r="P46" s="97"/>
      <c r="Q46" s="97"/>
      <c r="R46" s="97"/>
      <c r="S46" s="97"/>
      <c r="T46" s="97"/>
      <c r="U46" s="96"/>
      <c r="V46" s="97"/>
      <c r="W46" s="96">
        <v>5056</v>
      </c>
      <c r="X46" s="97">
        <v>3517.1052799999998</v>
      </c>
      <c r="Y46" s="219">
        <f t="shared" si="0"/>
        <v>39438.693830000004</v>
      </c>
    </row>
    <row r="47" spans="1:25" ht="15" customHeight="1" x14ac:dyDescent="0.25">
      <c r="A47" s="5">
        <v>40</v>
      </c>
      <c r="B47" s="216">
        <v>390782</v>
      </c>
      <c r="C47" s="160" t="s">
        <v>193</v>
      </c>
      <c r="D47" s="7">
        <v>829</v>
      </c>
      <c r="E47" s="8">
        <v>71417.903999999995</v>
      </c>
      <c r="F47" s="163">
        <v>829</v>
      </c>
      <c r="G47" s="163">
        <v>71417.903999999995</v>
      </c>
      <c r="H47" s="150">
        <v>0</v>
      </c>
      <c r="I47" s="199"/>
      <c r="J47" s="199"/>
      <c r="K47" s="96">
        <v>0</v>
      </c>
      <c r="L47" s="97">
        <v>0</v>
      </c>
      <c r="M47" s="150"/>
      <c r="N47" s="150"/>
      <c r="O47" s="150"/>
      <c r="P47" s="150"/>
      <c r="Q47" s="150"/>
      <c r="R47" s="150"/>
      <c r="S47" s="150"/>
      <c r="T47" s="150"/>
      <c r="U47" s="149"/>
      <c r="V47" s="150"/>
      <c r="W47" s="96">
        <v>0</v>
      </c>
      <c r="X47" s="97">
        <v>0</v>
      </c>
      <c r="Y47" s="219">
        <f t="shared" si="0"/>
        <v>71417.903999999995</v>
      </c>
    </row>
    <row r="48" spans="1:25" ht="15" customHeight="1" x14ac:dyDescent="0.25">
      <c r="A48" s="5">
        <v>41</v>
      </c>
      <c r="B48" s="216">
        <v>392080</v>
      </c>
      <c r="C48" s="160" t="s">
        <v>194</v>
      </c>
      <c r="D48" s="7">
        <v>431</v>
      </c>
      <c r="E48" s="8">
        <v>43053.226920000001</v>
      </c>
      <c r="F48" s="163">
        <v>431</v>
      </c>
      <c r="G48" s="163">
        <v>43053.226920000001</v>
      </c>
      <c r="H48" s="150">
        <v>0</v>
      </c>
      <c r="I48" s="199"/>
      <c r="J48" s="199"/>
      <c r="K48" s="96">
        <v>0</v>
      </c>
      <c r="L48" s="97">
        <v>0</v>
      </c>
      <c r="M48" s="150"/>
      <c r="N48" s="150"/>
      <c r="O48" s="150"/>
      <c r="P48" s="150"/>
      <c r="Q48" s="150"/>
      <c r="R48" s="150"/>
      <c r="S48" s="150"/>
      <c r="T48" s="150"/>
      <c r="U48" s="149"/>
      <c r="V48" s="150"/>
      <c r="W48" s="96">
        <v>0</v>
      </c>
      <c r="X48" s="97">
        <v>0</v>
      </c>
      <c r="Y48" s="219">
        <f t="shared" si="0"/>
        <v>43053.226920000001</v>
      </c>
    </row>
    <row r="49" spans="1:25" ht="15" customHeight="1" x14ac:dyDescent="0.25">
      <c r="A49" s="5">
        <v>42</v>
      </c>
      <c r="B49" s="216">
        <v>392160</v>
      </c>
      <c r="C49" s="160" t="s">
        <v>195</v>
      </c>
      <c r="D49" s="7">
        <v>2829</v>
      </c>
      <c r="E49" s="8">
        <v>249040.82331000001</v>
      </c>
      <c r="F49" s="163">
        <v>2829</v>
      </c>
      <c r="G49" s="163">
        <v>249040.82331000001</v>
      </c>
      <c r="H49" s="150">
        <v>0</v>
      </c>
      <c r="I49" s="199"/>
      <c r="J49" s="199"/>
      <c r="K49" s="96">
        <v>0</v>
      </c>
      <c r="L49" s="97">
        <v>0</v>
      </c>
      <c r="M49" s="150"/>
      <c r="N49" s="150"/>
      <c r="O49" s="150"/>
      <c r="P49" s="150"/>
      <c r="Q49" s="150"/>
      <c r="R49" s="150"/>
      <c r="S49" s="150"/>
      <c r="T49" s="150"/>
      <c r="U49" s="149"/>
      <c r="V49" s="150"/>
      <c r="W49" s="96">
        <v>0</v>
      </c>
      <c r="X49" s="97">
        <v>0</v>
      </c>
      <c r="Y49" s="219">
        <f t="shared" si="0"/>
        <v>249040.82331000001</v>
      </c>
    </row>
    <row r="50" spans="1:25" ht="15" customHeight="1" x14ac:dyDescent="0.25">
      <c r="A50" s="5">
        <v>43</v>
      </c>
      <c r="B50" s="5">
        <v>392400</v>
      </c>
      <c r="C50" s="6" t="s">
        <v>51</v>
      </c>
      <c r="D50" s="7">
        <v>900</v>
      </c>
      <c r="E50" s="8">
        <v>1191.8610000000001</v>
      </c>
      <c r="F50" s="199"/>
      <c r="G50" s="199"/>
      <c r="H50" s="150">
        <v>0</v>
      </c>
      <c r="I50" s="199"/>
      <c r="J50" s="199"/>
      <c r="K50" s="96">
        <v>30</v>
      </c>
      <c r="L50" s="97">
        <v>9.4449000000000005</v>
      </c>
      <c r="M50" s="150"/>
      <c r="N50" s="150"/>
      <c r="O50" s="150"/>
      <c r="P50" s="150"/>
      <c r="Q50" s="150"/>
      <c r="R50" s="150"/>
      <c r="S50" s="150"/>
      <c r="T50" s="150"/>
      <c r="U50" s="149"/>
      <c r="V50" s="150"/>
      <c r="W50" s="96">
        <v>0</v>
      </c>
      <c r="X50" s="97">
        <v>0</v>
      </c>
      <c r="Y50" s="219">
        <f t="shared" si="0"/>
        <v>1201.3059000000001</v>
      </c>
    </row>
    <row r="51" spans="1:25" s="164" customFormat="1" ht="15" customHeight="1" x14ac:dyDescent="0.25">
      <c r="A51" s="5">
        <v>44</v>
      </c>
      <c r="B51" s="5">
        <v>391492</v>
      </c>
      <c r="C51" s="6" t="s">
        <v>196</v>
      </c>
      <c r="D51" s="7">
        <v>0</v>
      </c>
      <c r="E51" s="8">
        <v>1087.2</v>
      </c>
      <c r="F51" s="163"/>
      <c r="G51" s="163"/>
      <c r="H51" s="150">
        <v>0</v>
      </c>
      <c r="I51" s="163"/>
      <c r="J51" s="163"/>
      <c r="K51" s="96">
        <v>0</v>
      </c>
      <c r="L51" s="97">
        <v>0</v>
      </c>
      <c r="M51" s="162"/>
      <c r="N51" s="162"/>
      <c r="O51" s="162"/>
      <c r="P51" s="162"/>
      <c r="Q51" s="162"/>
      <c r="R51" s="162"/>
      <c r="S51" s="162"/>
      <c r="T51" s="162"/>
      <c r="U51" s="161"/>
      <c r="V51" s="162"/>
      <c r="W51" s="96">
        <v>0</v>
      </c>
      <c r="X51" s="97">
        <v>0</v>
      </c>
      <c r="Y51" s="219">
        <f t="shared" si="0"/>
        <v>1087.2</v>
      </c>
    </row>
    <row r="52" spans="1:25" s="164" customFormat="1" ht="15" customHeight="1" x14ac:dyDescent="0.25">
      <c r="A52" s="5">
        <v>45</v>
      </c>
      <c r="B52" s="5">
        <v>392320</v>
      </c>
      <c r="C52" s="6" t="s">
        <v>52</v>
      </c>
      <c r="D52" s="7">
        <v>750</v>
      </c>
      <c r="E52" s="8">
        <v>993.21749999999997</v>
      </c>
      <c r="F52" s="163"/>
      <c r="G52" s="163"/>
      <c r="H52" s="150">
        <v>0</v>
      </c>
      <c r="I52" s="163"/>
      <c r="J52" s="163"/>
      <c r="K52" s="96">
        <v>0</v>
      </c>
      <c r="L52" s="97">
        <v>0</v>
      </c>
      <c r="M52" s="162"/>
      <c r="N52" s="162"/>
      <c r="O52" s="162"/>
      <c r="P52" s="162"/>
      <c r="Q52" s="162"/>
      <c r="R52" s="162"/>
      <c r="S52" s="162"/>
      <c r="T52" s="162"/>
      <c r="U52" s="161"/>
      <c r="V52" s="162"/>
      <c r="W52" s="96">
        <v>0</v>
      </c>
      <c r="X52" s="97">
        <v>0</v>
      </c>
      <c r="Y52" s="219">
        <f t="shared" si="0"/>
        <v>993.21749999999997</v>
      </c>
    </row>
    <row r="53" spans="1:25" ht="15" customHeight="1" x14ac:dyDescent="0.25">
      <c r="A53" s="5">
        <v>46</v>
      </c>
      <c r="B53" s="5">
        <v>391310</v>
      </c>
      <c r="C53" s="6" t="s">
        <v>53</v>
      </c>
      <c r="D53" s="7">
        <v>100</v>
      </c>
      <c r="E53" s="8">
        <v>132.429</v>
      </c>
      <c r="F53" s="98"/>
      <c r="G53" s="98"/>
      <c r="H53" s="150">
        <v>0</v>
      </c>
      <c r="I53" s="98"/>
      <c r="J53" s="99"/>
      <c r="K53" s="96">
        <v>1000</v>
      </c>
      <c r="L53" s="97">
        <v>314.83</v>
      </c>
      <c r="M53" s="97"/>
      <c r="N53" s="97"/>
      <c r="O53" s="97"/>
      <c r="P53" s="97"/>
      <c r="Q53" s="97"/>
      <c r="R53" s="97"/>
      <c r="S53" s="97"/>
      <c r="T53" s="97"/>
      <c r="U53" s="96"/>
      <c r="V53" s="97"/>
      <c r="W53" s="96">
        <v>0</v>
      </c>
      <c r="X53" s="97">
        <v>0</v>
      </c>
      <c r="Y53" s="219">
        <f t="shared" si="0"/>
        <v>447.25900000000001</v>
      </c>
    </row>
    <row r="54" spans="1:25" ht="15" customHeight="1" x14ac:dyDescent="0.25">
      <c r="A54" s="5">
        <v>47</v>
      </c>
      <c r="B54" s="5">
        <v>390006</v>
      </c>
      <c r="C54" s="6" t="s">
        <v>197</v>
      </c>
      <c r="D54" s="7">
        <v>0</v>
      </c>
      <c r="E54" s="8">
        <v>0</v>
      </c>
      <c r="F54" s="96"/>
      <c r="G54" s="97"/>
      <c r="H54" s="150">
        <v>0</v>
      </c>
      <c r="I54" s="96">
        <v>5</v>
      </c>
      <c r="J54" s="99">
        <v>195</v>
      </c>
      <c r="K54" s="96">
        <v>0</v>
      </c>
      <c r="L54" s="97">
        <v>0</v>
      </c>
      <c r="M54" s="97"/>
      <c r="N54" s="97"/>
      <c r="O54" s="97"/>
      <c r="P54" s="97"/>
      <c r="Q54" s="97"/>
      <c r="R54" s="97"/>
      <c r="S54" s="97"/>
      <c r="T54" s="97"/>
      <c r="U54" s="96"/>
      <c r="V54" s="97"/>
      <c r="W54" s="96">
        <v>0</v>
      </c>
      <c r="X54" s="97">
        <v>0</v>
      </c>
      <c r="Y54" s="219">
        <f t="shared" si="0"/>
        <v>0</v>
      </c>
    </row>
    <row r="55" spans="1:25" ht="15" customHeight="1" x14ac:dyDescent="0.25">
      <c r="A55" s="5">
        <v>48</v>
      </c>
      <c r="B55" s="5">
        <v>391930</v>
      </c>
      <c r="C55" s="6" t="s">
        <v>198</v>
      </c>
      <c r="D55" s="7">
        <v>0</v>
      </c>
      <c r="E55" s="8">
        <v>2511.33</v>
      </c>
      <c r="F55" s="96"/>
      <c r="G55" s="97"/>
      <c r="H55" s="150">
        <v>0</v>
      </c>
      <c r="I55" s="97"/>
      <c r="J55" s="100"/>
      <c r="K55" s="96">
        <v>0</v>
      </c>
      <c r="L55" s="97">
        <v>0</v>
      </c>
      <c r="M55" s="97"/>
      <c r="N55" s="97"/>
      <c r="O55" s="97"/>
      <c r="P55" s="97"/>
      <c r="Q55" s="97"/>
      <c r="R55" s="97"/>
      <c r="S55" s="97"/>
      <c r="T55" s="97"/>
      <c r="U55" s="96"/>
      <c r="V55" s="97"/>
      <c r="W55" s="96">
        <v>0</v>
      </c>
      <c r="X55" s="97">
        <v>0</v>
      </c>
      <c r="Y55" s="219">
        <f t="shared" si="0"/>
        <v>2511.33</v>
      </c>
    </row>
    <row r="56" spans="1:25" ht="15" customHeight="1" x14ac:dyDescent="0.25">
      <c r="A56" s="5">
        <v>49</v>
      </c>
      <c r="B56" s="5">
        <v>390003</v>
      </c>
      <c r="C56" s="6" t="s">
        <v>199</v>
      </c>
      <c r="D56" s="7">
        <v>50</v>
      </c>
      <c r="E56" s="8">
        <v>66.214500000000001</v>
      </c>
      <c r="F56" s="98"/>
      <c r="G56" s="98"/>
      <c r="H56" s="150">
        <v>0</v>
      </c>
      <c r="I56" s="98"/>
      <c r="J56" s="99"/>
      <c r="K56" s="96">
        <v>30</v>
      </c>
      <c r="L56" s="97">
        <v>9.4449000000000005</v>
      </c>
      <c r="M56" s="97"/>
      <c r="N56" s="97"/>
      <c r="O56" s="97"/>
      <c r="P56" s="97"/>
      <c r="Q56" s="97"/>
      <c r="R56" s="97"/>
      <c r="S56" s="97"/>
      <c r="T56" s="97"/>
      <c r="U56" s="96"/>
      <c r="V56" s="97"/>
      <c r="W56" s="96">
        <v>0</v>
      </c>
      <c r="X56" s="97">
        <v>0</v>
      </c>
      <c r="Y56" s="219">
        <f t="shared" si="0"/>
        <v>75.659400000000005</v>
      </c>
    </row>
    <row r="57" spans="1:25" ht="15" customHeight="1" x14ac:dyDescent="0.25">
      <c r="A57" s="5">
        <v>50</v>
      </c>
      <c r="B57" s="5">
        <v>392750</v>
      </c>
      <c r="C57" s="6" t="s">
        <v>65</v>
      </c>
      <c r="D57" s="7">
        <v>50</v>
      </c>
      <c r="E57" s="8">
        <v>66.214500000000001</v>
      </c>
      <c r="F57" s="98"/>
      <c r="G57" s="98"/>
      <c r="H57" s="150">
        <v>0</v>
      </c>
      <c r="I57" s="98"/>
      <c r="J57" s="99"/>
      <c r="K57" s="96">
        <v>0</v>
      </c>
      <c r="L57" s="97">
        <v>0</v>
      </c>
      <c r="M57" s="97"/>
      <c r="N57" s="97"/>
      <c r="O57" s="97"/>
      <c r="P57" s="97"/>
      <c r="Q57" s="97"/>
      <c r="R57" s="97"/>
      <c r="S57" s="97"/>
      <c r="T57" s="97"/>
      <c r="U57" s="96"/>
      <c r="V57" s="97"/>
      <c r="W57" s="96">
        <v>0</v>
      </c>
      <c r="X57" s="97">
        <v>0</v>
      </c>
      <c r="Y57" s="219">
        <f t="shared" si="0"/>
        <v>66.214500000000001</v>
      </c>
    </row>
    <row r="58" spans="1:25" ht="15" customHeight="1" x14ac:dyDescent="0.25">
      <c r="A58" s="5">
        <v>51</v>
      </c>
      <c r="B58" s="5">
        <v>392830</v>
      </c>
      <c r="C58" s="6" t="s">
        <v>200</v>
      </c>
      <c r="D58" s="7">
        <v>0</v>
      </c>
      <c r="E58" s="8">
        <v>2075.81</v>
      </c>
      <c r="F58" s="98"/>
      <c r="G58" s="98"/>
      <c r="H58" s="150">
        <v>0</v>
      </c>
      <c r="I58" s="98"/>
      <c r="J58" s="99"/>
      <c r="K58" s="96">
        <v>0</v>
      </c>
      <c r="L58" s="97">
        <v>0</v>
      </c>
      <c r="M58" s="97"/>
      <c r="N58" s="97"/>
      <c r="O58" s="97"/>
      <c r="P58" s="97"/>
      <c r="Q58" s="97"/>
      <c r="R58" s="97"/>
      <c r="S58" s="97"/>
      <c r="T58" s="97"/>
      <c r="U58" s="96"/>
      <c r="V58" s="97"/>
      <c r="W58" s="96">
        <v>0</v>
      </c>
      <c r="X58" s="97">
        <v>0</v>
      </c>
      <c r="Y58" s="219">
        <f t="shared" si="0"/>
        <v>2075.81</v>
      </c>
    </row>
    <row r="59" spans="1:25" ht="15" customHeight="1" x14ac:dyDescent="0.25">
      <c r="A59" s="5">
        <v>52</v>
      </c>
      <c r="B59" s="5">
        <v>390008</v>
      </c>
      <c r="C59" s="6" t="s">
        <v>201</v>
      </c>
      <c r="D59" s="7">
        <v>0</v>
      </c>
      <c r="E59" s="8">
        <v>0</v>
      </c>
      <c r="F59" s="98"/>
      <c r="G59" s="98"/>
      <c r="H59" s="150">
        <v>0</v>
      </c>
      <c r="I59" s="98">
        <v>30</v>
      </c>
      <c r="J59" s="99">
        <v>9.4449000000000005</v>
      </c>
      <c r="K59" s="96">
        <v>0</v>
      </c>
      <c r="L59" s="97">
        <v>0</v>
      </c>
      <c r="M59" s="97"/>
      <c r="N59" s="97"/>
      <c r="O59" s="97"/>
      <c r="P59" s="97"/>
      <c r="Q59" s="97"/>
      <c r="R59" s="97"/>
      <c r="S59" s="97"/>
      <c r="T59" s="97"/>
      <c r="U59" s="96"/>
      <c r="V59" s="97"/>
      <c r="W59" s="96">
        <v>0</v>
      </c>
      <c r="X59" s="97">
        <v>0</v>
      </c>
      <c r="Y59" s="219">
        <f t="shared" si="0"/>
        <v>0</v>
      </c>
    </row>
    <row r="60" spans="1:25" ht="15" customHeight="1" x14ac:dyDescent="0.25">
      <c r="A60" s="5">
        <v>53</v>
      </c>
      <c r="B60" s="5">
        <v>391960</v>
      </c>
      <c r="C60" s="6" t="s">
        <v>66</v>
      </c>
      <c r="D60" s="7">
        <v>0</v>
      </c>
      <c r="E60" s="8">
        <v>0</v>
      </c>
      <c r="F60" s="98"/>
      <c r="G60" s="98"/>
      <c r="H60" s="150">
        <v>0</v>
      </c>
      <c r="I60" s="98">
        <v>2389</v>
      </c>
      <c r="J60" s="99">
        <v>5189.13</v>
      </c>
      <c r="K60" s="96">
        <v>0</v>
      </c>
      <c r="L60" s="97">
        <v>0</v>
      </c>
      <c r="M60" s="97"/>
      <c r="N60" s="97"/>
      <c r="O60" s="97"/>
      <c r="P60" s="97"/>
      <c r="Q60" s="97"/>
      <c r="R60" s="97"/>
      <c r="S60" s="97"/>
      <c r="T60" s="97"/>
      <c r="U60" s="96"/>
      <c r="V60" s="97"/>
      <c r="W60" s="96">
        <v>0</v>
      </c>
      <c r="X60" s="97">
        <v>0</v>
      </c>
      <c r="Y60" s="219">
        <f t="shared" si="0"/>
        <v>0</v>
      </c>
    </row>
    <row r="61" spans="1:25" s="68" customFormat="1" ht="15" customHeight="1" x14ac:dyDescent="0.25">
      <c r="A61" s="5">
        <v>54</v>
      </c>
      <c r="B61" s="5">
        <v>390007</v>
      </c>
      <c r="C61" s="6" t="s">
        <v>202</v>
      </c>
      <c r="D61" s="7">
        <v>50</v>
      </c>
      <c r="E61" s="8">
        <v>93.394499999999994</v>
      </c>
      <c r="F61" s="98"/>
      <c r="G61" s="98"/>
      <c r="H61" s="150">
        <v>0</v>
      </c>
      <c r="I61" s="98"/>
      <c r="J61" s="97"/>
      <c r="K61" s="96">
        <v>30</v>
      </c>
      <c r="L61" s="97">
        <v>9.4449000000000005</v>
      </c>
      <c r="M61" s="97"/>
      <c r="N61" s="97"/>
      <c r="O61" s="97"/>
      <c r="P61" s="97"/>
      <c r="Q61" s="97"/>
      <c r="R61" s="97"/>
      <c r="S61" s="97"/>
      <c r="T61" s="97"/>
      <c r="U61" s="96"/>
      <c r="V61" s="97"/>
      <c r="W61" s="96">
        <v>0</v>
      </c>
      <c r="X61" s="97">
        <v>0</v>
      </c>
      <c r="Y61" s="219">
        <f t="shared" si="0"/>
        <v>102.8394</v>
      </c>
    </row>
    <row r="62" spans="1:25" s="68" customFormat="1" ht="15" customHeight="1" x14ac:dyDescent="0.25">
      <c r="A62" s="5">
        <v>55</v>
      </c>
      <c r="B62" s="5">
        <v>391370</v>
      </c>
      <c r="C62" s="6" t="s">
        <v>73</v>
      </c>
      <c r="D62" s="7">
        <v>0</v>
      </c>
      <c r="E62" s="8">
        <v>1102.77</v>
      </c>
      <c r="F62" s="98"/>
      <c r="G62" s="98"/>
      <c r="H62" s="150">
        <v>0</v>
      </c>
      <c r="I62" s="98"/>
      <c r="J62" s="97"/>
      <c r="K62" s="96">
        <v>0</v>
      </c>
      <c r="L62" s="97">
        <v>0</v>
      </c>
      <c r="M62" s="97"/>
      <c r="N62" s="97"/>
      <c r="O62" s="97"/>
      <c r="P62" s="97"/>
      <c r="Q62" s="97"/>
      <c r="R62" s="97"/>
      <c r="S62" s="97"/>
      <c r="T62" s="97"/>
      <c r="U62" s="96"/>
      <c r="V62" s="97"/>
      <c r="W62" s="96">
        <v>0</v>
      </c>
      <c r="X62" s="97">
        <v>0</v>
      </c>
      <c r="Y62" s="219">
        <f t="shared" si="0"/>
        <v>1102.77</v>
      </c>
    </row>
    <row r="63" spans="1:25" s="68" customFormat="1" ht="15" customHeight="1" x14ac:dyDescent="0.25">
      <c r="A63" s="5">
        <v>56</v>
      </c>
      <c r="B63" s="5">
        <v>392470</v>
      </c>
      <c r="C63" s="6" t="s">
        <v>67</v>
      </c>
      <c r="D63" s="7">
        <v>0</v>
      </c>
      <c r="E63" s="8">
        <v>0</v>
      </c>
      <c r="F63" s="98"/>
      <c r="G63" s="98"/>
      <c r="H63" s="150">
        <v>0</v>
      </c>
      <c r="I63" s="98">
        <v>10</v>
      </c>
      <c r="J63" s="97">
        <v>0.81</v>
      </c>
      <c r="K63" s="96">
        <v>0</v>
      </c>
      <c r="L63" s="97">
        <v>0</v>
      </c>
      <c r="M63" s="97"/>
      <c r="N63" s="97"/>
      <c r="O63" s="97"/>
      <c r="P63" s="97"/>
      <c r="Q63" s="97"/>
      <c r="R63" s="97"/>
      <c r="S63" s="97"/>
      <c r="T63" s="97"/>
      <c r="U63" s="96"/>
      <c r="V63" s="97"/>
      <c r="W63" s="96">
        <v>0</v>
      </c>
      <c r="X63" s="97">
        <v>0</v>
      </c>
      <c r="Y63" s="219">
        <f t="shared" si="0"/>
        <v>0</v>
      </c>
    </row>
    <row r="64" spans="1:25" s="68" customFormat="1" ht="15" customHeight="1" x14ac:dyDescent="0.25">
      <c r="A64" s="5">
        <v>57</v>
      </c>
      <c r="B64" s="5">
        <v>391970</v>
      </c>
      <c r="C64" s="6" t="s">
        <v>203</v>
      </c>
      <c r="D64" s="7">
        <v>0</v>
      </c>
      <c r="E64" s="8">
        <v>1910.4</v>
      </c>
      <c r="F64" s="98"/>
      <c r="G64" s="98"/>
      <c r="H64" s="150">
        <v>0</v>
      </c>
      <c r="I64" s="98"/>
      <c r="J64" s="97"/>
      <c r="K64" s="96">
        <v>0</v>
      </c>
      <c r="L64" s="97">
        <v>0</v>
      </c>
      <c r="M64" s="97"/>
      <c r="N64" s="97"/>
      <c r="O64" s="97"/>
      <c r="P64" s="97"/>
      <c r="Q64" s="97"/>
      <c r="R64" s="97"/>
      <c r="S64" s="97"/>
      <c r="T64" s="97"/>
      <c r="U64" s="96"/>
      <c r="V64" s="97"/>
      <c r="W64" s="96">
        <v>0</v>
      </c>
      <c r="X64" s="97">
        <v>0</v>
      </c>
      <c r="Y64" s="219">
        <f t="shared" si="0"/>
        <v>1910.4</v>
      </c>
    </row>
    <row r="65" spans="1:25" s="68" customFormat="1" ht="15" customHeight="1" x14ac:dyDescent="0.25">
      <c r="A65" s="5">
        <v>58</v>
      </c>
      <c r="B65" s="5">
        <v>392720</v>
      </c>
      <c r="C65" s="6" t="s">
        <v>69</v>
      </c>
      <c r="D65" s="7">
        <v>0</v>
      </c>
      <c r="E65" s="8">
        <v>1043.56</v>
      </c>
      <c r="F65" s="98"/>
      <c r="G65" s="98"/>
      <c r="H65" s="150">
        <v>0</v>
      </c>
      <c r="I65" s="98"/>
      <c r="J65" s="97"/>
      <c r="K65" s="96">
        <v>0</v>
      </c>
      <c r="L65" s="97">
        <v>0</v>
      </c>
      <c r="M65" s="97"/>
      <c r="N65" s="97"/>
      <c r="O65" s="97"/>
      <c r="P65" s="97"/>
      <c r="Q65" s="97"/>
      <c r="R65" s="97"/>
      <c r="S65" s="97"/>
      <c r="T65" s="97"/>
      <c r="U65" s="96"/>
      <c r="V65" s="97"/>
      <c r="W65" s="96">
        <v>0</v>
      </c>
      <c r="X65" s="97">
        <v>0</v>
      </c>
      <c r="Y65" s="219">
        <f t="shared" si="0"/>
        <v>1043.56</v>
      </c>
    </row>
    <row r="66" spans="1:25" s="68" customFormat="1" ht="15" customHeight="1" x14ac:dyDescent="0.25">
      <c r="A66" s="5">
        <v>59</v>
      </c>
      <c r="B66" s="5">
        <v>392050</v>
      </c>
      <c r="C66" s="6" t="s">
        <v>204</v>
      </c>
      <c r="D66" s="7">
        <v>0</v>
      </c>
      <c r="E66" s="8">
        <v>374.79999999999995</v>
      </c>
      <c r="F66" s="98"/>
      <c r="G66" s="98"/>
      <c r="H66" s="150">
        <v>0</v>
      </c>
      <c r="I66" s="98"/>
      <c r="J66" s="97"/>
      <c r="K66" s="96">
        <v>0</v>
      </c>
      <c r="L66" s="97">
        <v>0</v>
      </c>
      <c r="M66" s="97"/>
      <c r="N66" s="97"/>
      <c r="O66" s="97"/>
      <c r="P66" s="97"/>
      <c r="Q66" s="97"/>
      <c r="R66" s="97"/>
      <c r="S66" s="97"/>
      <c r="T66" s="97"/>
      <c r="U66" s="96"/>
      <c r="V66" s="97"/>
      <c r="W66" s="96">
        <v>0</v>
      </c>
      <c r="X66" s="97">
        <v>0</v>
      </c>
      <c r="Y66" s="219">
        <f t="shared" si="0"/>
        <v>374.79999999999995</v>
      </c>
    </row>
    <row r="67" spans="1:25" s="68" customFormat="1" ht="15" customHeight="1" x14ac:dyDescent="0.25">
      <c r="A67" s="5">
        <v>60</v>
      </c>
      <c r="B67" s="5">
        <v>391840</v>
      </c>
      <c r="C67" s="6" t="s">
        <v>205</v>
      </c>
      <c r="D67" s="7"/>
      <c r="E67" s="8">
        <v>0</v>
      </c>
      <c r="F67" s="98"/>
      <c r="G67" s="98"/>
      <c r="H67" s="150">
        <v>0</v>
      </c>
      <c r="I67" s="98"/>
      <c r="J67" s="97"/>
      <c r="K67" s="96">
        <v>80</v>
      </c>
      <c r="L67" s="97">
        <v>1592.48</v>
      </c>
      <c r="M67" s="97"/>
      <c r="N67" s="97"/>
      <c r="O67" s="97"/>
      <c r="P67" s="97"/>
      <c r="Q67" s="97"/>
      <c r="R67" s="97"/>
      <c r="S67" s="97"/>
      <c r="T67" s="97"/>
      <c r="U67" s="96">
        <v>80</v>
      </c>
      <c r="V67" s="97">
        <v>1592.48</v>
      </c>
      <c r="W67" s="96">
        <v>0</v>
      </c>
      <c r="X67" s="97">
        <v>0</v>
      </c>
      <c r="Y67" s="219">
        <f t="shared" si="0"/>
        <v>1592.48</v>
      </c>
    </row>
    <row r="68" spans="1:25" s="68" customFormat="1" ht="15" customHeight="1" x14ac:dyDescent="0.25">
      <c r="A68" s="5">
        <v>61</v>
      </c>
      <c r="B68" s="5">
        <v>390002</v>
      </c>
      <c r="C68" s="6" t="s">
        <v>206</v>
      </c>
      <c r="D68" s="7">
        <v>50</v>
      </c>
      <c r="E68" s="8">
        <v>71.194500000000005</v>
      </c>
      <c r="F68" s="98"/>
      <c r="G68" s="98"/>
      <c r="H68" s="150">
        <v>0</v>
      </c>
      <c r="I68" s="98"/>
      <c r="J68" s="97"/>
      <c r="K68" s="96">
        <v>30</v>
      </c>
      <c r="L68" s="97">
        <v>9.4449000000000005</v>
      </c>
      <c r="M68" s="97"/>
      <c r="N68" s="97"/>
      <c r="O68" s="97"/>
      <c r="P68" s="97"/>
      <c r="Q68" s="97"/>
      <c r="R68" s="97"/>
      <c r="S68" s="97"/>
      <c r="T68" s="97"/>
      <c r="U68" s="96"/>
      <c r="V68" s="97"/>
      <c r="W68" s="96">
        <v>0</v>
      </c>
      <c r="X68" s="97">
        <v>0</v>
      </c>
      <c r="Y68" s="219">
        <f t="shared" si="0"/>
        <v>80.639400000000009</v>
      </c>
    </row>
    <row r="69" spans="1:25" s="68" customFormat="1" ht="15" customHeight="1" x14ac:dyDescent="0.25">
      <c r="A69" s="5">
        <v>62</v>
      </c>
      <c r="B69" s="5">
        <v>392580</v>
      </c>
      <c r="C69" s="6" t="s">
        <v>71</v>
      </c>
      <c r="D69" s="7">
        <v>0</v>
      </c>
      <c r="E69" s="8">
        <v>0</v>
      </c>
      <c r="F69" s="98"/>
      <c r="G69" s="98"/>
      <c r="H69" s="150">
        <v>0</v>
      </c>
      <c r="I69" s="98">
        <v>30</v>
      </c>
      <c r="J69" s="97">
        <v>9.4449000000000005</v>
      </c>
      <c r="K69" s="96"/>
      <c r="L69" s="97"/>
      <c r="M69" s="97"/>
      <c r="N69" s="97"/>
      <c r="O69" s="97"/>
      <c r="P69" s="97"/>
      <c r="Q69" s="97"/>
      <c r="R69" s="97"/>
      <c r="S69" s="97"/>
      <c r="T69" s="97"/>
      <c r="U69" s="96"/>
      <c r="V69" s="97"/>
      <c r="W69" s="96">
        <v>0</v>
      </c>
      <c r="X69" s="97">
        <v>0</v>
      </c>
      <c r="Y69" s="219">
        <f t="shared" si="0"/>
        <v>0</v>
      </c>
    </row>
    <row r="70" spans="1:25" s="68" customFormat="1" ht="15" customHeight="1" x14ac:dyDescent="0.25">
      <c r="A70" s="5">
        <v>63</v>
      </c>
      <c r="B70" s="5">
        <v>390001</v>
      </c>
      <c r="C70" s="6" t="s">
        <v>207</v>
      </c>
      <c r="D70" s="7">
        <v>0</v>
      </c>
      <c r="E70" s="8">
        <v>1910.4</v>
      </c>
      <c r="F70" s="98"/>
      <c r="G70" s="98"/>
      <c r="H70" s="150">
        <v>0</v>
      </c>
      <c r="I70" s="98"/>
      <c r="J70" s="97"/>
      <c r="K70" s="96">
        <v>0</v>
      </c>
      <c r="L70" s="97">
        <v>0</v>
      </c>
      <c r="M70" s="97"/>
      <c r="N70" s="97"/>
      <c r="O70" s="97"/>
      <c r="P70" s="97"/>
      <c r="Q70" s="97"/>
      <c r="R70" s="97"/>
      <c r="S70" s="97"/>
      <c r="T70" s="97"/>
      <c r="U70" s="96"/>
      <c r="V70" s="97"/>
      <c r="W70" s="96">
        <v>0</v>
      </c>
      <c r="X70" s="97">
        <v>0</v>
      </c>
      <c r="Y70" s="219">
        <f t="shared" si="0"/>
        <v>1910.4</v>
      </c>
    </row>
    <row r="71" spans="1:25" s="68" customFormat="1" ht="15" customHeight="1" x14ac:dyDescent="0.25">
      <c r="A71" s="5">
        <v>64</v>
      </c>
      <c r="B71" s="5">
        <v>390010</v>
      </c>
      <c r="C71" s="6" t="s">
        <v>208</v>
      </c>
      <c r="D71" s="7">
        <v>0</v>
      </c>
      <c r="E71" s="8">
        <v>0</v>
      </c>
      <c r="F71" s="98"/>
      <c r="G71" s="98"/>
      <c r="H71" s="150">
        <v>0</v>
      </c>
      <c r="I71" s="98"/>
      <c r="J71" s="97"/>
      <c r="K71" s="96">
        <v>30</v>
      </c>
      <c r="L71" s="97">
        <v>9.4449000000000005</v>
      </c>
      <c r="M71" s="97"/>
      <c r="N71" s="97"/>
      <c r="O71" s="97"/>
      <c r="P71" s="97"/>
      <c r="Q71" s="97"/>
      <c r="R71" s="97"/>
      <c r="S71" s="97"/>
      <c r="T71" s="97"/>
      <c r="U71" s="96"/>
      <c r="V71" s="97"/>
      <c r="W71" s="96">
        <v>0</v>
      </c>
      <c r="X71" s="97">
        <v>0</v>
      </c>
      <c r="Y71" s="219">
        <f t="shared" si="0"/>
        <v>9.4449000000000005</v>
      </c>
    </row>
    <row r="72" spans="1:25" s="68" customFormat="1" ht="15" customHeight="1" x14ac:dyDescent="0.25">
      <c r="A72" s="5">
        <v>65</v>
      </c>
      <c r="B72" s="5">
        <v>392760</v>
      </c>
      <c r="C72" s="6" t="s">
        <v>126</v>
      </c>
      <c r="D72" s="7">
        <v>0</v>
      </c>
      <c r="E72" s="8">
        <v>0</v>
      </c>
      <c r="F72" s="98"/>
      <c r="G72" s="98"/>
      <c r="H72" s="150">
        <v>0</v>
      </c>
      <c r="I72" s="98">
        <v>5</v>
      </c>
      <c r="J72" s="97">
        <v>195</v>
      </c>
      <c r="K72" s="96">
        <v>0</v>
      </c>
      <c r="L72" s="97">
        <v>0</v>
      </c>
      <c r="M72" s="97"/>
      <c r="N72" s="97"/>
      <c r="O72" s="97"/>
      <c r="P72" s="97"/>
      <c r="Q72" s="97"/>
      <c r="R72" s="97"/>
      <c r="S72" s="97"/>
      <c r="T72" s="97"/>
      <c r="U72" s="96"/>
      <c r="V72" s="97"/>
      <c r="W72" s="96">
        <v>0</v>
      </c>
      <c r="X72" s="97">
        <v>0</v>
      </c>
      <c r="Y72" s="219">
        <f t="shared" si="0"/>
        <v>0</v>
      </c>
    </row>
    <row r="73" spans="1:25" s="102" customFormat="1" ht="21.75" customHeight="1" x14ac:dyDescent="0.25">
      <c r="A73" s="205"/>
      <c r="B73" s="205"/>
      <c r="C73" s="91" t="s">
        <v>75</v>
      </c>
      <c r="D73" s="101">
        <f t="shared" ref="D73:J73" si="1">SUM(D8:D72)</f>
        <v>1496933</v>
      </c>
      <c r="E73" s="217">
        <f t="shared" si="1"/>
        <v>2776413.6982299993</v>
      </c>
      <c r="F73" s="101">
        <f t="shared" si="1"/>
        <v>4089</v>
      </c>
      <c r="G73" s="217">
        <f t="shared" si="1"/>
        <v>363511.95423000003</v>
      </c>
      <c r="H73" s="217">
        <f t="shared" si="1"/>
        <v>107140</v>
      </c>
      <c r="I73" s="101">
        <f t="shared" si="1"/>
        <v>2469</v>
      </c>
      <c r="J73" s="217">
        <f t="shared" si="1"/>
        <v>5598.8298000000013</v>
      </c>
      <c r="K73" s="101">
        <f t="shared" ref="K73:Y73" si="2">SUM(K8:K72)</f>
        <v>2015893</v>
      </c>
      <c r="L73" s="217">
        <f t="shared" si="2"/>
        <v>668558.84930000012</v>
      </c>
      <c r="M73" s="101">
        <f t="shared" si="2"/>
        <v>0</v>
      </c>
      <c r="N73" s="217">
        <f t="shared" si="2"/>
        <v>0</v>
      </c>
      <c r="O73" s="101">
        <f t="shared" si="2"/>
        <v>0</v>
      </c>
      <c r="P73" s="217">
        <f t="shared" si="2"/>
        <v>0</v>
      </c>
      <c r="Q73" s="101">
        <f t="shared" si="2"/>
        <v>0</v>
      </c>
      <c r="R73" s="217">
        <f t="shared" si="2"/>
        <v>0</v>
      </c>
      <c r="S73" s="101">
        <f t="shared" si="2"/>
        <v>0</v>
      </c>
      <c r="T73" s="217">
        <f t="shared" si="2"/>
        <v>0</v>
      </c>
      <c r="U73" s="101">
        <f t="shared" si="2"/>
        <v>1730</v>
      </c>
      <c r="V73" s="217">
        <f t="shared" si="2"/>
        <v>34437.380000000005</v>
      </c>
      <c r="W73" s="101">
        <f t="shared" si="2"/>
        <v>542217</v>
      </c>
      <c r="X73" s="217">
        <f t="shared" si="2"/>
        <v>414236.50215999997</v>
      </c>
      <c r="Y73" s="220">
        <f t="shared" si="2"/>
        <v>3859209.0496899989</v>
      </c>
    </row>
    <row r="74" spans="1:25" s="102" customFormat="1" ht="21.75" customHeight="1" x14ac:dyDescent="0.25">
      <c r="A74" s="32"/>
      <c r="B74" s="32"/>
      <c r="C74" s="102" t="s">
        <v>214</v>
      </c>
      <c r="U74" s="230"/>
      <c r="Y74" s="231">
        <v>0</v>
      </c>
    </row>
    <row r="75" spans="1:25" s="236" customFormat="1" ht="21.75" customHeight="1" x14ac:dyDescent="0.25">
      <c r="A75" s="205"/>
      <c r="B75" s="205"/>
      <c r="C75" s="236" t="s">
        <v>215</v>
      </c>
      <c r="D75" s="101"/>
      <c r="E75" s="220"/>
      <c r="F75" s="101"/>
      <c r="G75" s="220"/>
      <c r="H75" s="220"/>
      <c r="I75" s="101"/>
      <c r="J75" s="220"/>
      <c r="K75" s="101"/>
      <c r="L75" s="220"/>
      <c r="M75" s="220"/>
      <c r="N75" s="220"/>
      <c r="O75" s="220"/>
      <c r="P75" s="220"/>
      <c r="Q75" s="220"/>
      <c r="R75" s="220"/>
      <c r="S75" s="220"/>
      <c r="T75" s="220"/>
      <c r="U75" s="101"/>
      <c r="V75" s="220"/>
      <c r="W75" s="101"/>
      <c r="X75" s="220"/>
      <c r="Y75" s="220">
        <f>Y73+Y74</f>
        <v>3859209.0496899989</v>
      </c>
    </row>
    <row r="76" spans="1:25" s="214" customFormat="1" ht="21.75" customHeight="1" x14ac:dyDescent="0.25">
      <c r="A76" s="232"/>
      <c r="B76" s="232"/>
      <c r="C76" s="42" t="s">
        <v>216</v>
      </c>
      <c r="D76" s="233"/>
      <c r="E76" s="234"/>
      <c r="F76" s="233"/>
      <c r="G76" s="234"/>
      <c r="H76" s="234"/>
      <c r="I76" s="233"/>
      <c r="J76" s="234"/>
      <c r="K76" s="233"/>
      <c r="L76" s="234"/>
      <c r="M76" s="233"/>
      <c r="N76" s="234"/>
      <c r="O76" s="233"/>
      <c r="P76" s="234"/>
      <c r="Q76" s="233"/>
      <c r="R76" s="234"/>
      <c r="S76" s="233"/>
      <c r="T76" s="234"/>
      <c r="U76" s="233"/>
      <c r="V76" s="234"/>
      <c r="W76" s="233"/>
      <c r="X76" s="234"/>
      <c r="Y76" s="235">
        <v>6222850.7000000002</v>
      </c>
    </row>
    <row r="77" spans="1:25" s="102" customFormat="1" ht="21.75" customHeight="1" x14ac:dyDescent="0.25">
      <c r="A77" s="205"/>
      <c r="B77" s="205"/>
      <c r="C77" s="226"/>
      <c r="D77" s="227"/>
      <c r="E77" s="228"/>
      <c r="F77" s="227"/>
      <c r="G77" s="228"/>
      <c r="H77" s="228"/>
      <c r="I77" s="227"/>
      <c r="J77" s="228"/>
      <c r="K77" s="227"/>
      <c r="L77" s="228"/>
      <c r="M77" s="227"/>
      <c r="N77" s="228"/>
      <c r="O77" s="227"/>
      <c r="P77" s="228"/>
      <c r="Q77" s="227"/>
      <c r="R77" s="228"/>
      <c r="S77" s="227"/>
      <c r="T77" s="228"/>
      <c r="U77" s="227"/>
      <c r="V77" s="228"/>
      <c r="W77" s="227"/>
      <c r="X77" s="228"/>
      <c r="Y77" s="229"/>
    </row>
    <row r="78" spans="1:25" ht="21.75" customHeight="1" x14ac:dyDescent="0.25">
      <c r="C78" s="94" t="s">
        <v>173</v>
      </c>
    </row>
    <row r="79" spans="1:25" ht="21.75" customHeight="1" x14ac:dyDescent="0.25">
      <c r="C79" s="94" t="s">
        <v>169</v>
      </c>
      <c r="D79" s="96">
        <f>D73-D51-D52</f>
        <v>1496183</v>
      </c>
      <c r="E79" s="100">
        <f>E73-E51-E52</f>
        <v>2774333.2807299993</v>
      </c>
      <c r="F79" s="96"/>
      <c r="G79" s="100"/>
      <c r="H79" s="100"/>
      <c r="I79" s="96"/>
      <c r="J79" s="100"/>
      <c r="K79" s="96">
        <f>K73-K51-K52</f>
        <v>2015893</v>
      </c>
      <c r="L79" s="100">
        <f>L73-L51-L52</f>
        <v>668558.84930000012</v>
      </c>
      <c r="M79" s="100"/>
      <c r="N79" s="100"/>
      <c r="O79" s="100"/>
      <c r="P79" s="100"/>
      <c r="Q79" s="100"/>
      <c r="R79" s="100"/>
      <c r="S79" s="100"/>
      <c r="T79" s="100"/>
      <c r="U79" s="96"/>
      <c r="V79" s="100"/>
      <c r="W79" s="96">
        <f>W73-W51-W52</f>
        <v>542217</v>
      </c>
      <c r="X79" s="100">
        <f>X73-X51-X52</f>
        <v>414236.50215999997</v>
      </c>
      <c r="Y79" s="222">
        <f>Y73-Y51-Y52</f>
        <v>3857128.6321899989</v>
      </c>
    </row>
    <row r="80" spans="1:25" ht="21.75" customHeight="1" x14ac:dyDescent="0.25">
      <c r="U80" s="94"/>
      <c r="Y80" s="94"/>
    </row>
    <row r="81" spans="21:25" ht="21.75" customHeight="1" x14ac:dyDescent="0.25">
      <c r="U81" s="94"/>
      <c r="Y81" s="94"/>
    </row>
  </sheetData>
  <autoFilter ref="A7:Y79" xr:uid="{00000000-0009-0000-0000-000000000000}"/>
  <mergeCells count="15">
    <mergeCell ref="A5:B5"/>
    <mergeCell ref="S6:T6"/>
    <mergeCell ref="U6:V6"/>
    <mergeCell ref="Y6:Y7"/>
    <mergeCell ref="A6:A7"/>
    <mergeCell ref="B6:B7"/>
    <mergeCell ref="C6:C7"/>
    <mergeCell ref="D6:E6"/>
    <mergeCell ref="F6:G6"/>
    <mergeCell ref="I6:J6"/>
    <mergeCell ref="K6:L6"/>
    <mergeCell ref="W6:X6"/>
    <mergeCell ref="M6:N6"/>
    <mergeCell ref="Q6:R6"/>
    <mergeCell ref="O6:P6"/>
  </mergeCells>
  <pageMargins left="0.78740157480314965" right="0.39370078740157483" top="0.78740157480314965" bottom="0.78740157480314965" header="0" footer="0"/>
  <pageSetup paperSize="9" scale="77" fitToHeight="0" orientation="landscape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ED505-2775-4991-B368-5F08DBB29E28}">
  <sheetPr>
    <tabColor theme="4" tint="0.59999389629810485"/>
  </sheetPr>
  <dimension ref="A1:AU97"/>
  <sheetViews>
    <sheetView zoomScale="85" zoomScaleNormal="85"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D22" sqref="D22"/>
    </sheetView>
  </sheetViews>
  <sheetFormatPr defaultColWidth="9.140625" defaultRowHeight="15" x14ac:dyDescent="0.25"/>
  <cols>
    <col min="1" max="1" width="4.140625" style="259" customWidth="1"/>
    <col min="2" max="2" width="8.5703125" style="259" customWidth="1"/>
    <col min="3" max="3" width="42.42578125" style="68" customWidth="1"/>
    <col min="4" max="4" width="18.42578125" style="68" bestFit="1" customWidth="1"/>
    <col min="5" max="5" width="16.42578125" style="324" bestFit="1" customWidth="1"/>
    <col min="6" max="6" width="10.85546875" style="259" bestFit="1" customWidth="1"/>
    <col min="7" max="7" width="12.5703125" style="259" hidden="1" customWidth="1"/>
    <col min="8" max="8" width="10.85546875" style="259" bestFit="1" customWidth="1"/>
    <col min="9" max="9" width="16" style="259" hidden="1" customWidth="1"/>
    <col min="10" max="10" width="9" style="259" bestFit="1" customWidth="1"/>
    <col min="11" max="11" width="11.5703125" style="259" hidden="1" customWidth="1"/>
    <col min="12" max="12" width="10" style="327" customWidth="1"/>
    <col min="13" max="13" width="19" style="328" customWidth="1"/>
    <col min="14" max="14" width="8.5703125" style="259" bestFit="1" customWidth="1"/>
    <col min="15" max="16" width="16.42578125" style="259" bestFit="1" customWidth="1"/>
    <col min="17" max="17" width="9" style="259" bestFit="1" customWidth="1"/>
    <col min="18" max="18" width="16.42578125" style="259" bestFit="1" customWidth="1"/>
    <col min="19" max="19" width="8.5703125" style="259" bestFit="1" customWidth="1"/>
    <col min="20" max="20" width="12.7109375" style="259" bestFit="1" customWidth="1"/>
    <col min="21" max="21" width="9.7109375" style="260" customWidth="1"/>
    <col min="22" max="22" width="18.28515625" style="260" customWidth="1"/>
    <col min="23" max="23" width="9.140625" style="260" customWidth="1"/>
    <col min="24" max="24" width="15.7109375" style="260" customWidth="1"/>
    <col min="25" max="25" width="9.42578125" style="260" customWidth="1"/>
    <col min="26" max="26" width="14.7109375" style="260" customWidth="1"/>
    <col min="27" max="27" width="11.5703125" style="260" customWidth="1"/>
    <col min="28" max="28" width="16.140625" style="260" customWidth="1"/>
    <col min="29" max="29" width="9" style="130" bestFit="1" customWidth="1"/>
    <col min="30" max="30" width="16.42578125" style="319" bestFit="1" customWidth="1"/>
    <col min="31" max="31" width="9" style="319" bestFit="1" customWidth="1"/>
    <col min="32" max="32" width="16.42578125" style="319" bestFit="1" customWidth="1"/>
    <col min="33" max="33" width="8.5703125" style="319" bestFit="1" customWidth="1"/>
    <col min="34" max="34" width="14.42578125" style="319" customWidth="1"/>
    <col min="35" max="35" width="8.5703125" style="329" customWidth="1"/>
    <col min="36" max="36" width="12.5703125" style="329" customWidth="1"/>
    <col min="37" max="37" width="12.140625" style="330" customWidth="1"/>
    <col min="38" max="38" width="18.28515625" style="330" customWidth="1"/>
    <col min="39" max="39" width="18.42578125" style="329" bestFit="1" customWidth="1"/>
    <col min="40" max="40" width="17.140625" style="126" customWidth="1"/>
    <col min="41" max="41" width="16.5703125" style="319" hidden="1" customWidth="1"/>
    <col min="42" max="42" width="18" style="259" customWidth="1"/>
    <col min="43" max="43" width="17.85546875" style="336" customWidth="1"/>
    <col min="44" max="44" width="18.28515625" style="259" customWidth="1"/>
    <col min="45" max="45" width="16.85546875" style="319" hidden="1" customWidth="1"/>
    <col min="46" max="46" width="17.28515625" style="329" customWidth="1"/>
    <col min="47" max="47" width="12.28515625" style="260" customWidth="1"/>
    <col min="48" max="16384" width="9.140625" style="259"/>
  </cols>
  <sheetData>
    <row r="1" spans="1:47" s="68" customFormat="1" ht="39.75" customHeight="1" x14ac:dyDescent="0.25">
      <c r="A1" s="620" t="s">
        <v>4</v>
      </c>
      <c r="B1" s="620" t="s">
        <v>163</v>
      </c>
      <c r="C1" s="620" t="s">
        <v>162</v>
      </c>
      <c r="D1" s="239" t="s">
        <v>164</v>
      </c>
      <c r="E1" s="240" t="s">
        <v>154</v>
      </c>
      <c r="F1" s="622" t="s">
        <v>161</v>
      </c>
      <c r="G1" s="623"/>
      <c r="H1" s="622" t="s">
        <v>157</v>
      </c>
      <c r="I1" s="623"/>
      <c r="J1" s="618" t="s">
        <v>211</v>
      </c>
      <c r="K1" s="619"/>
      <c r="L1" s="605" t="s">
        <v>218</v>
      </c>
      <c r="M1" s="606"/>
      <c r="N1" s="615" t="s">
        <v>158</v>
      </c>
      <c r="O1" s="616"/>
      <c r="P1" s="241" t="s">
        <v>159</v>
      </c>
      <c r="Q1" s="605" t="s">
        <v>224</v>
      </c>
      <c r="R1" s="606"/>
      <c r="S1" s="607" t="s">
        <v>212</v>
      </c>
      <c r="T1" s="617"/>
      <c r="U1" s="605" t="s">
        <v>155</v>
      </c>
      <c r="V1" s="606"/>
      <c r="W1" s="607" t="s">
        <v>210</v>
      </c>
      <c r="X1" s="617"/>
      <c r="Y1" s="605" t="s">
        <v>152</v>
      </c>
      <c r="Z1" s="606"/>
      <c r="AA1" s="607" t="s">
        <v>188</v>
      </c>
      <c r="AB1" s="617"/>
      <c r="AC1" s="609" t="s">
        <v>150</v>
      </c>
      <c r="AD1" s="610"/>
      <c r="AE1" s="609" t="s">
        <v>149</v>
      </c>
      <c r="AF1" s="610"/>
      <c r="AG1" s="609" t="s">
        <v>148</v>
      </c>
      <c r="AH1" s="610"/>
      <c r="AI1" s="613" t="s">
        <v>221</v>
      </c>
      <c r="AJ1" s="613"/>
      <c r="AK1" s="613"/>
      <c r="AL1" s="613"/>
      <c r="AM1" s="614"/>
      <c r="AN1" s="242" t="s">
        <v>75</v>
      </c>
      <c r="AO1" s="243" t="s">
        <v>166</v>
      </c>
      <c r="AP1" s="202" t="s">
        <v>178</v>
      </c>
      <c r="AQ1" s="244" t="s">
        <v>172</v>
      </c>
      <c r="AS1" s="245" t="s">
        <v>170</v>
      </c>
      <c r="AT1" s="337" t="s">
        <v>213</v>
      </c>
      <c r="AU1" s="246" t="s">
        <v>213</v>
      </c>
    </row>
    <row r="2" spans="1:47" s="254" customFormat="1" ht="41.45" customHeight="1" x14ac:dyDescent="0.25">
      <c r="A2" s="621"/>
      <c r="B2" s="621"/>
      <c r="C2" s="621"/>
      <c r="D2" s="248" t="s">
        <v>147</v>
      </c>
      <c r="E2" s="249" t="s">
        <v>147</v>
      </c>
      <c r="F2" s="248" t="s">
        <v>12</v>
      </c>
      <c r="G2" s="248" t="s">
        <v>147</v>
      </c>
      <c r="H2" s="248" t="s">
        <v>12</v>
      </c>
      <c r="I2" s="248" t="s">
        <v>147</v>
      </c>
      <c r="J2" s="248" t="s">
        <v>12</v>
      </c>
      <c r="K2" s="248" t="s">
        <v>147</v>
      </c>
      <c r="L2" s="250" t="s">
        <v>12</v>
      </c>
      <c r="M2" s="251" t="s">
        <v>147</v>
      </c>
      <c r="N2" s="248" t="s">
        <v>12</v>
      </c>
      <c r="O2" s="248" t="s">
        <v>147</v>
      </c>
      <c r="P2" s="248" t="s">
        <v>147</v>
      </c>
      <c r="Q2" s="250" t="s">
        <v>12</v>
      </c>
      <c r="R2" s="250" t="s">
        <v>147</v>
      </c>
      <c r="S2" s="248" t="s">
        <v>12</v>
      </c>
      <c r="T2" s="248" t="s">
        <v>147</v>
      </c>
      <c r="U2" s="250" t="s">
        <v>12</v>
      </c>
      <c r="V2" s="250" t="s">
        <v>147</v>
      </c>
      <c r="W2" s="250" t="s">
        <v>12</v>
      </c>
      <c r="X2" s="250" t="s">
        <v>147</v>
      </c>
      <c r="Y2" s="250" t="s">
        <v>12</v>
      </c>
      <c r="Z2" s="250" t="s">
        <v>147</v>
      </c>
      <c r="AA2" s="250" t="s">
        <v>12</v>
      </c>
      <c r="AB2" s="250" t="s">
        <v>147</v>
      </c>
      <c r="AC2" s="252" t="s">
        <v>12</v>
      </c>
      <c r="AD2" s="252" t="s">
        <v>147</v>
      </c>
      <c r="AE2" s="252" t="s">
        <v>12</v>
      </c>
      <c r="AF2" s="252" t="s">
        <v>147</v>
      </c>
      <c r="AG2" s="252" t="s">
        <v>12</v>
      </c>
      <c r="AH2" s="252" t="s">
        <v>147</v>
      </c>
      <c r="AI2" s="72" t="s">
        <v>220</v>
      </c>
      <c r="AJ2" s="72" t="s">
        <v>219</v>
      </c>
      <c r="AK2" s="253" t="s">
        <v>222</v>
      </c>
      <c r="AL2" s="72" t="s">
        <v>223</v>
      </c>
      <c r="AM2" s="72" t="s">
        <v>147</v>
      </c>
      <c r="AN2" s="248" t="s">
        <v>147</v>
      </c>
      <c r="AO2" s="252" t="s">
        <v>147</v>
      </c>
      <c r="AQ2" s="248" t="s">
        <v>147</v>
      </c>
      <c r="AS2" s="252" t="s">
        <v>147</v>
      </c>
      <c r="AT2" s="338"/>
      <c r="AU2" s="255"/>
    </row>
    <row r="3" spans="1:47" ht="18.75" customHeight="1" x14ac:dyDescent="0.25">
      <c r="A3" s="247"/>
      <c r="B3" s="256">
        <v>1</v>
      </c>
      <c r="C3" s="257">
        <v>2</v>
      </c>
      <c r="D3" s="256">
        <v>3</v>
      </c>
      <c r="E3" s="257">
        <v>4</v>
      </c>
      <c r="F3" s="256">
        <v>5</v>
      </c>
      <c r="G3" s="257">
        <v>6</v>
      </c>
      <c r="H3" s="256">
        <v>7</v>
      </c>
      <c r="I3" s="257">
        <v>8</v>
      </c>
      <c r="J3" s="256">
        <v>9</v>
      </c>
      <c r="K3" s="257">
        <v>10</v>
      </c>
      <c r="L3" s="256">
        <v>11</v>
      </c>
      <c r="M3" s="257">
        <v>12</v>
      </c>
      <c r="N3" s="256">
        <v>13</v>
      </c>
      <c r="O3" s="257">
        <v>14</v>
      </c>
      <c r="P3" s="256">
        <v>15</v>
      </c>
      <c r="Q3" s="257">
        <v>16</v>
      </c>
      <c r="R3" s="256">
        <v>17</v>
      </c>
      <c r="S3" s="257">
        <v>18</v>
      </c>
      <c r="T3" s="256">
        <v>19</v>
      </c>
      <c r="U3" s="257">
        <v>20</v>
      </c>
      <c r="V3" s="256">
        <v>21</v>
      </c>
      <c r="W3" s="257">
        <v>22</v>
      </c>
      <c r="X3" s="256">
        <v>23</v>
      </c>
      <c r="Y3" s="257">
        <v>24</v>
      </c>
      <c r="Z3" s="256">
        <v>25</v>
      </c>
      <c r="AA3" s="257">
        <v>26</v>
      </c>
      <c r="AB3" s="256">
        <v>27</v>
      </c>
      <c r="AC3" s="257">
        <v>28</v>
      </c>
      <c r="AD3" s="256">
        <v>29</v>
      </c>
      <c r="AE3" s="257">
        <v>30</v>
      </c>
      <c r="AF3" s="256">
        <v>31</v>
      </c>
      <c r="AG3" s="257">
        <v>32</v>
      </c>
      <c r="AH3" s="256">
        <v>33</v>
      </c>
      <c r="AI3" s="257">
        <v>34</v>
      </c>
      <c r="AJ3" s="256">
        <v>35</v>
      </c>
      <c r="AK3" s="257">
        <v>36</v>
      </c>
      <c r="AL3" s="256">
        <v>37</v>
      </c>
      <c r="AM3" s="257">
        <v>38</v>
      </c>
      <c r="AN3" s="256">
        <v>39</v>
      </c>
      <c r="AO3" s="257">
        <v>40</v>
      </c>
      <c r="AP3" s="257"/>
      <c r="AQ3" s="257">
        <v>42</v>
      </c>
      <c r="AS3" s="258">
        <v>40</v>
      </c>
    </row>
    <row r="4" spans="1:47" ht="18" customHeight="1" x14ac:dyDescent="0.25">
      <c r="A4" s="261">
        <v>1</v>
      </c>
      <c r="B4" s="5">
        <v>390930</v>
      </c>
      <c r="C4" s="6" t="s">
        <v>180</v>
      </c>
      <c r="D4" s="262"/>
      <c r="E4" s="263"/>
      <c r="F4" s="264"/>
      <c r="G4" s="262"/>
      <c r="H4" s="264"/>
      <c r="I4" s="262"/>
      <c r="J4" s="264"/>
      <c r="K4" s="262"/>
      <c r="L4" s="265">
        <f>IFERROR((VLOOKUP($B4,'АПП БАЗ (0)'!$B$8:$X$72,3,FALSE)),0)</f>
        <v>0</v>
      </c>
      <c r="M4" s="266">
        <f>IFERROR((VLOOKUP($B4,'АПП БАЗ (0)'!$B$8:$X$72,4,FALSE)*1000),0)-P4</f>
        <v>0</v>
      </c>
      <c r="N4" s="264"/>
      <c r="O4" s="262"/>
      <c r="P4" s="267">
        <v>0</v>
      </c>
      <c r="Q4" s="265">
        <f>IFERROR((VLOOKUP($B4,'АПП БАЗ (0)'!$B$8:$X$72,10,FALSE)),0)+IFERROR((VLOOKUP($B4,'АПП БАЗ (0)'!$B$8:$X$72,22,FALSE)),0)</f>
        <v>21707</v>
      </c>
      <c r="R4" s="266">
        <f>IFERROR((VLOOKUP($B4,'АПП БАЗ (0)'!$B$8:$X$72,11,FALSE)),0)*1000+IFERROR((VLOOKUP($B4,'АПП БАЗ (0)'!$B$8:$X$72,23,FALSE)),0)*1000</f>
        <v>6834014.8099999996</v>
      </c>
      <c r="S4" s="264"/>
      <c r="T4" s="262"/>
      <c r="U4" s="268">
        <v>0</v>
      </c>
      <c r="V4" s="269">
        <v>0</v>
      </c>
      <c r="W4" s="268">
        <v>0</v>
      </c>
      <c r="X4" s="269">
        <v>0</v>
      </c>
      <c r="Y4" s="268">
        <v>0</v>
      </c>
      <c r="Z4" s="269">
        <v>0</v>
      </c>
      <c r="AA4" s="268">
        <v>0</v>
      </c>
      <c r="AB4" s="269">
        <v>0</v>
      </c>
      <c r="AC4" s="270">
        <v>0</v>
      </c>
      <c r="AD4" s="271">
        <v>0</v>
      </c>
      <c r="AE4" s="270">
        <v>0</v>
      </c>
      <c r="AF4" s="271">
        <v>0</v>
      </c>
      <c r="AG4" s="270">
        <v>0</v>
      </c>
      <c r="AH4" s="271">
        <v>0</v>
      </c>
      <c r="AI4" s="272">
        <f>L4+N4</f>
        <v>0</v>
      </c>
      <c r="AJ4" s="272">
        <f t="shared" ref="AJ4:AJ67" si="0">Q4+S4+U4+W4+Y4+AA4+AE4+AG4</f>
        <v>21707</v>
      </c>
      <c r="AK4" s="273">
        <f>U4+Y4+AA4</f>
        <v>0</v>
      </c>
      <c r="AL4" s="274">
        <f>V4+Z4+AB4</f>
        <v>0</v>
      </c>
      <c r="AM4" s="275">
        <f t="shared" ref="AM4:AM67" si="1">R4+M4+O4+P4+T4+V4+X4+Z4+AB4+AD4+AF4+AH4</f>
        <v>6834014.8099999996</v>
      </c>
      <c r="AN4" s="276">
        <f>D4+E4+AM4</f>
        <v>6834014.8099999996</v>
      </c>
      <c r="AO4" s="277">
        <f t="shared" ref="AO4:AO67" si="2">AM4-P4</f>
        <v>6834014.8099999996</v>
      </c>
      <c r="AP4" s="279">
        <v>6834014.8099999996</v>
      </c>
      <c r="AQ4" s="278">
        <f>AN4-AH4-AF4-AD4</f>
        <v>6834014.8099999996</v>
      </c>
      <c r="AR4" s="279">
        <f>IFERROR((VLOOKUP(B4,#REF!,24,FALSE)*1000),0)</f>
        <v>0</v>
      </c>
      <c r="AS4" s="280"/>
      <c r="AT4" s="334">
        <f>AQ4-AR4</f>
        <v>6834014.8099999996</v>
      </c>
      <c r="AU4" s="281">
        <f t="shared" ref="AU4:AU67" si="3">AN4-AP4</f>
        <v>0</v>
      </c>
    </row>
    <row r="5" spans="1:47" ht="18" customHeight="1" x14ac:dyDescent="0.25">
      <c r="A5" s="261">
        <v>2</v>
      </c>
      <c r="B5" s="5">
        <v>390800</v>
      </c>
      <c r="C5" s="6" t="s">
        <v>89</v>
      </c>
      <c r="D5" s="282"/>
      <c r="E5" s="263"/>
      <c r="F5" s="283"/>
      <c r="G5" s="282"/>
      <c r="H5" s="264"/>
      <c r="I5" s="262"/>
      <c r="J5" s="264"/>
      <c r="K5" s="262"/>
      <c r="L5" s="265">
        <f>IFERROR((VLOOKUP($B5,'АПП БАЗ (0)'!$B$8:$X$72,3,FALSE)),0)</f>
        <v>1300</v>
      </c>
      <c r="M5" s="266">
        <f>IFERROR((VLOOKUP($B5,'АПП БАЗ (0)'!$B$8:$X$72,4,FALSE)*1000),0)-P5</f>
        <v>31003787.000000007</v>
      </c>
      <c r="N5" s="264"/>
      <c r="O5" s="262"/>
      <c r="P5" s="267">
        <v>0</v>
      </c>
      <c r="Q5" s="265">
        <f>IFERROR((VLOOKUP($B5,'АПП БАЗ (0)'!$B$8:$X$72,10,FALSE)),0)+IFERROR((VLOOKUP($B5,'АПП БАЗ (0)'!$B$8:$X$72,22,FALSE)),0)</f>
        <v>92192</v>
      </c>
      <c r="R5" s="266">
        <f>IFERROR((VLOOKUP($B5,'АПП БАЗ (0)'!$B$8:$X$72,11,FALSE)),0)*1000+IFERROR((VLOOKUP($B5,'АПП БАЗ (0)'!$B$8:$X$72,23,FALSE)),0)*1000</f>
        <v>51737367.359999999</v>
      </c>
      <c r="S5" s="264"/>
      <c r="T5" s="262"/>
      <c r="U5" s="268">
        <v>0</v>
      </c>
      <c r="V5" s="269">
        <v>0</v>
      </c>
      <c r="W5" s="268">
        <v>0</v>
      </c>
      <c r="X5" s="269">
        <v>0</v>
      </c>
      <c r="Y5" s="268">
        <v>0</v>
      </c>
      <c r="Z5" s="269">
        <v>0</v>
      </c>
      <c r="AA5" s="268">
        <v>0</v>
      </c>
      <c r="AB5" s="269">
        <v>0</v>
      </c>
      <c r="AC5" s="270">
        <v>0</v>
      </c>
      <c r="AD5" s="271">
        <v>0</v>
      </c>
      <c r="AE5" s="270">
        <v>0</v>
      </c>
      <c r="AF5" s="271">
        <v>0</v>
      </c>
      <c r="AG5" s="270">
        <v>0</v>
      </c>
      <c r="AH5" s="271">
        <v>0</v>
      </c>
      <c r="AI5" s="272">
        <f t="shared" ref="AI5:AI68" si="4">L5+N5</f>
        <v>1300</v>
      </c>
      <c r="AJ5" s="272">
        <f t="shared" si="0"/>
        <v>92192</v>
      </c>
      <c r="AK5" s="273">
        <f t="shared" ref="AK5:AL68" si="5">U5+Y5+AA5</f>
        <v>0</v>
      </c>
      <c r="AL5" s="274">
        <f t="shared" si="5"/>
        <v>0</v>
      </c>
      <c r="AM5" s="275">
        <f t="shared" si="1"/>
        <v>82741154.360000014</v>
      </c>
      <c r="AN5" s="276">
        <f t="shared" ref="AN5:AN68" si="6">D5+E5+AM5</f>
        <v>82741154.360000014</v>
      </c>
      <c r="AO5" s="277">
        <f t="shared" si="2"/>
        <v>82741154.360000014</v>
      </c>
      <c r="AP5" s="279">
        <v>82741154.359999999</v>
      </c>
      <c r="AQ5" s="278">
        <f t="shared" ref="AQ5:AQ68" si="7">AN5-AH5-AF5-AD5</f>
        <v>82741154.360000014</v>
      </c>
      <c r="AR5" s="279">
        <f>IFERROR((VLOOKUP(B5,#REF!,24,FALSE)*1000),0)</f>
        <v>0</v>
      </c>
      <c r="AS5" s="280"/>
      <c r="AT5" s="334">
        <f t="shared" ref="AT5:AT68" si="8">AQ5-AR5</f>
        <v>82741154.360000014</v>
      </c>
      <c r="AU5" s="281">
        <f t="shared" si="3"/>
        <v>0</v>
      </c>
    </row>
    <row r="6" spans="1:47" ht="18" customHeight="1" x14ac:dyDescent="0.25">
      <c r="A6" s="261">
        <v>3</v>
      </c>
      <c r="B6" s="5">
        <v>391100</v>
      </c>
      <c r="C6" s="6" t="s">
        <v>103</v>
      </c>
      <c r="D6" s="262"/>
      <c r="E6" s="263"/>
      <c r="F6" s="264"/>
      <c r="G6" s="262"/>
      <c r="H6" s="264"/>
      <c r="I6" s="262"/>
      <c r="J6" s="264"/>
      <c r="K6" s="262"/>
      <c r="L6" s="265">
        <f>IFERROR((VLOOKUP($B6,'АПП БАЗ (0)'!$B$8:$X$72,3,FALSE)),0)</f>
        <v>0</v>
      </c>
      <c r="M6" s="266">
        <f>IFERROR((VLOOKUP($B6,'АПП БАЗ (0)'!$B$8:$X$72,4,FALSE)*1000),0)-P6</f>
        <v>1892000</v>
      </c>
      <c r="N6" s="264"/>
      <c r="O6" s="262"/>
      <c r="P6" s="267">
        <v>66040000</v>
      </c>
      <c r="Q6" s="265">
        <f>IFERROR((VLOOKUP($B6,'АПП БАЗ (0)'!$B$8:$X$72,10,FALSE)),0)+IFERROR((VLOOKUP($B6,'АПП БАЗ (0)'!$B$8:$X$72,22,FALSE)),0)</f>
        <v>2828</v>
      </c>
      <c r="R6" s="266">
        <f>IFERROR((VLOOKUP($B6,'АПП БАЗ (0)'!$B$8:$X$72,11,FALSE)),0)*1000+IFERROR((VLOOKUP($B6,'АПП БАЗ (0)'!$B$8:$X$72,23,FALSE)),0)*1000</f>
        <v>890339.24</v>
      </c>
      <c r="S6" s="264"/>
      <c r="T6" s="262"/>
      <c r="U6" s="268">
        <v>0</v>
      </c>
      <c r="V6" s="269">
        <v>0</v>
      </c>
      <c r="W6" s="268">
        <v>0</v>
      </c>
      <c r="X6" s="269">
        <v>0</v>
      </c>
      <c r="Y6" s="268">
        <v>0</v>
      </c>
      <c r="Z6" s="269">
        <v>0</v>
      </c>
      <c r="AA6" s="268">
        <v>0</v>
      </c>
      <c r="AB6" s="269">
        <v>0</v>
      </c>
      <c r="AC6" s="270">
        <v>0</v>
      </c>
      <c r="AD6" s="271">
        <v>0</v>
      </c>
      <c r="AE6" s="270">
        <v>0</v>
      </c>
      <c r="AF6" s="271">
        <v>0</v>
      </c>
      <c r="AG6" s="270">
        <v>0</v>
      </c>
      <c r="AH6" s="271">
        <v>0</v>
      </c>
      <c r="AI6" s="272">
        <f t="shared" si="4"/>
        <v>0</v>
      </c>
      <c r="AJ6" s="272">
        <f t="shared" si="0"/>
        <v>2828</v>
      </c>
      <c r="AK6" s="273">
        <f t="shared" si="5"/>
        <v>0</v>
      </c>
      <c r="AL6" s="274">
        <f t="shared" si="5"/>
        <v>0</v>
      </c>
      <c r="AM6" s="275">
        <f t="shared" si="1"/>
        <v>68822339.239999995</v>
      </c>
      <c r="AN6" s="276">
        <f t="shared" si="6"/>
        <v>68822339.239999995</v>
      </c>
      <c r="AO6" s="277">
        <f t="shared" si="2"/>
        <v>2782339.2399999946</v>
      </c>
      <c r="AP6" s="279">
        <v>68822339.239999995</v>
      </c>
      <c r="AQ6" s="278">
        <f t="shared" si="7"/>
        <v>68822339.239999995</v>
      </c>
      <c r="AR6" s="279">
        <f>IFERROR((VLOOKUP(B6,#REF!,24,FALSE)*1000),0)</f>
        <v>0</v>
      </c>
      <c r="AS6" s="280"/>
      <c r="AT6" s="334">
        <f t="shared" si="8"/>
        <v>68822339.239999995</v>
      </c>
      <c r="AU6" s="281">
        <f t="shared" si="3"/>
        <v>0</v>
      </c>
    </row>
    <row r="7" spans="1:47" ht="18" customHeight="1" x14ac:dyDescent="0.25">
      <c r="A7" s="261">
        <v>4</v>
      </c>
      <c r="B7" s="5">
        <v>390470</v>
      </c>
      <c r="C7" s="6" t="s">
        <v>88</v>
      </c>
      <c r="D7" s="262"/>
      <c r="E7" s="263"/>
      <c r="F7" s="264"/>
      <c r="G7" s="262"/>
      <c r="H7" s="264"/>
      <c r="I7" s="262"/>
      <c r="J7" s="264"/>
      <c r="K7" s="262"/>
      <c r="L7" s="265">
        <f>IFERROR((VLOOKUP($B7,'АПП БАЗ (0)'!$B$8:$X$72,3,FALSE)),0)</f>
        <v>10200</v>
      </c>
      <c r="M7" s="266">
        <f>IFERROR((VLOOKUP($B7,'АПП БАЗ (0)'!$B$8:$X$72,4,FALSE)*1000),0)-P7</f>
        <v>131788307.99999999</v>
      </c>
      <c r="N7" s="264"/>
      <c r="O7" s="262"/>
      <c r="P7" s="267">
        <v>0</v>
      </c>
      <c r="Q7" s="265">
        <f>IFERROR((VLOOKUP($B7,'АПП БАЗ (0)'!$B$8:$X$72,10,FALSE)),0)+IFERROR((VLOOKUP($B7,'АПП БАЗ (0)'!$B$8:$X$72,22,FALSE)),0)</f>
        <v>192460</v>
      </c>
      <c r="R7" s="266">
        <f>IFERROR((VLOOKUP($B7,'АПП БАЗ (0)'!$B$8:$X$72,11,FALSE)),0)*1000+IFERROR((VLOOKUP($B7,'АПП БАЗ (0)'!$B$8:$X$72,23,FALSE)),0)*1000</f>
        <v>60592181.799999997</v>
      </c>
      <c r="S7" s="264"/>
      <c r="T7" s="262"/>
      <c r="U7" s="268">
        <v>0</v>
      </c>
      <c r="V7" s="269">
        <v>0</v>
      </c>
      <c r="W7" s="268">
        <v>0</v>
      </c>
      <c r="X7" s="269">
        <v>0</v>
      </c>
      <c r="Y7" s="268">
        <v>0</v>
      </c>
      <c r="Z7" s="269">
        <v>0</v>
      </c>
      <c r="AA7" s="268">
        <v>0</v>
      </c>
      <c r="AB7" s="269">
        <v>0</v>
      </c>
      <c r="AC7" s="270">
        <v>0</v>
      </c>
      <c r="AD7" s="271">
        <v>0</v>
      </c>
      <c r="AE7" s="270">
        <v>0</v>
      </c>
      <c r="AF7" s="271">
        <v>0</v>
      </c>
      <c r="AG7" s="270">
        <v>0</v>
      </c>
      <c r="AH7" s="271">
        <v>0</v>
      </c>
      <c r="AI7" s="272">
        <f t="shared" si="4"/>
        <v>10200</v>
      </c>
      <c r="AJ7" s="272">
        <f t="shared" si="0"/>
        <v>192460</v>
      </c>
      <c r="AK7" s="273">
        <f t="shared" si="5"/>
        <v>0</v>
      </c>
      <c r="AL7" s="274">
        <f t="shared" si="5"/>
        <v>0</v>
      </c>
      <c r="AM7" s="275">
        <f t="shared" si="1"/>
        <v>192380489.79999998</v>
      </c>
      <c r="AN7" s="276">
        <f t="shared" si="6"/>
        <v>192380489.79999998</v>
      </c>
      <c r="AO7" s="277">
        <f t="shared" si="2"/>
        <v>192380489.79999998</v>
      </c>
      <c r="AP7" s="279">
        <v>192380489.80000001</v>
      </c>
      <c r="AQ7" s="278">
        <f t="shared" si="7"/>
        <v>192380489.79999998</v>
      </c>
      <c r="AR7" s="279">
        <f>IFERROR((VLOOKUP(B7,#REF!,24,FALSE)*1000),0)</f>
        <v>0</v>
      </c>
      <c r="AS7" s="280"/>
      <c r="AT7" s="334">
        <f t="shared" si="8"/>
        <v>192380489.79999998</v>
      </c>
      <c r="AU7" s="281">
        <f t="shared" si="3"/>
        <v>0</v>
      </c>
    </row>
    <row r="8" spans="1:47" ht="18" customHeight="1" x14ac:dyDescent="0.25">
      <c r="A8" s="261">
        <v>5</v>
      </c>
      <c r="B8" s="5">
        <v>390762</v>
      </c>
      <c r="C8" s="6" t="s">
        <v>111</v>
      </c>
      <c r="D8" s="262"/>
      <c r="E8" s="263"/>
      <c r="F8" s="264"/>
      <c r="G8" s="262"/>
      <c r="H8" s="264"/>
      <c r="I8" s="262"/>
      <c r="J8" s="264"/>
      <c r="K8" s="262"/>
      <c r="L8" s="265">
        <f>IFERROR((VLOOKUP($B8,'АПП БАЗ (0)'!$B$8:$X$72,3,FALSE)),0)</f>
        <v>0</v>
      </c>
      <c r="M8" s="266">
        <f>IFERROR((VLOOKUP($B8,'АПП БАЗ (0)'!$B$8:$X$72,4,FALSE)*1000),0)-P8</f>
        <v>0</v>
      </c>
      <c r="N8" s="284"/>
      <c r="O8" s="285"/>
      <c r="P8" s="267">
        <v>0</v>
      </c>
      <c r="Q8" s="265">
        <f>IFERROR((VLOOKUP($B8,'АПП БАЗ (0)'!$B$8:$X$72,10,FALSE)),0)+IFERROR((VLOOKUP($B8,'АПП БАЗ (0)'!$B$8:$X$72,22,FALSE)),0)-S8</f>
        <v>1216</v>
      </c>
      <c r="R8" s="266">
        <f>IFERROR((VLOOKUP($B8,'АПП БАЗ (0)'!$B$8:$X$72,11,FALSE)),0)*1000+IFERROR((VLOOKUP($B8,'АПП БАЗ (0)'!$B$8:$X$72,23,FALSE)),0)*1000-T8</f>
        <v>382833.28000000119</v>
      </c>
      <c r="S8" s="264">
        <v>1150</v>
      </c>
      <c r="T8" s="262">
        <v>22891900</v>
      </c>
      <c r="U8" s="268">
        <v>0</v>
      </c>
      <c r="V8" s="269">
        <v>0</v>
      </c>
      <c r="W8" s="268">
        <v>0</v>
      </c>
      <c r="X8" s="269">
        <v>0</v>
      </c>
      <c r="Y8" s="268">
        <v>0</v>
      </c>
      <c r="Z8" s="269">
        <v>0</v>
      </c>
      <c r="AA8" s="268">
        <v>0</v>
      </c>
      <c r="AB8" s="269">
        <v>0</v>
      </c>
      <c r="AC8" s="270">
        <v>0</v>
      </c>
      <c r="AD8" s="271">
        <v>0</v>
      </c>
      <c r="AE8" s="270">
        <v>0</v>
      </c>
      <c r="AF8" s="271">
        <v>0</v>
      </c>
      <c r="AG8" s="270">
        <v>0</v>
      </c>
      <c r="AH8" s="271">
        <v>0</v>
      </c>
      <c r="AI8" s="272">
        <f t="shared" si="4"/>
        <v>0</v>
      </c>
      <c r="AJ8" s="272">
        <f>Q8+S8+U8+W8+Y8+AA8+AE8+AG8</f>
        <v>2366</v>
      </c>
      <c r="AK8" s="273">
        <f t="shared" si="5"/>
        <v>0</v>
      </c>
      <c r="AL8" s="274">
        <f t="shared" si="5"/>
        <v>0</v>
      </c>
      <c r="AM8" s="275">
        <f t="shared" si="1"/>
        <v>23274733.280000001</v>
      </c>
      <c r="AN8" s="276">
        <f t="shared" si="6"/>
        <v>23274733.280000001</v>
      </c>
      <c r="AO8" s="277">
        <f t="shared" si="2"/>
        <v>23274733.280000001</v>
      </c>
      <c r="AP8" s="279">
        <v>23274733.280000001</v>
      </c>
      <c r="AQ8" s="278">
        <f t="shared" si="7"/>
        <v>23274733.280000001</v>
      </c>
      <c r="AR8" s="279">
        <f>IFERROR((VLOOKUP(B8,#REF!,24,FALSE)*1000),0)</f>
        <v>0</v>
      </c>
      <c r="AS8" s="280"/>
      <c r="AT8" s="334">
        <f t="shared" si="8"/>
        <v>23274733.280000001</v>
      </c>
      <c r="AU8" s="281">
        <f t="shared" si="3"/>
        <v>0</v>
      </c>
    </row>
    <row r="9" spans="1:47" ht="18" customHeight="1" x14ac:dyDescent="0.25">
      <c r="A9" s="261">
        <v>6</v>
      </c>
      <c r="B9" s="5">
        <v>390050</v>
      </c>
      <c r="C9" s="6" t="s">
        <v>98</v>
      </c>
      <c r="D9" s="262"/>
      <c r="E9" s="263"/>
      <c r="F9" s="264"/>
      <c r="G9" s="262"/>
      <c r="H9" s="264"/>
      <c r="I9" s="262"/>
      <c r="J9" s="264"/>
      <c r="K9" s="262"/>
      <c r="L9" s="265">
        <f>IFERROR((VLOOKUP($B9,'АПП БАЗ (0)'!$B$8:$X$72,3,FALSE)),0)</f>
        <v>25500</v>
      </c>
      <c r="M9" s="266">
        <f>IFERROR((VLOOKUP($B9,'АПП БАЗ (0)'!$B$8:$X$72,4,FALSE)*1000),0)-P9</f>
        <v>51554975.000000007</v>
      </c>
      <c r="N9" s="264"/>
      <c r="O9" s="262"/>
      <c r="P9" s="267">
        <v>15000000</v>
      </c>
      <c r="Q9" s="265">
        <f>IFERROR((VLOOKUP($B9,'АПП БАЗ (0)'!$B$8:$X$72,10,FALSE)),0)+IFERROR((VLOOKUP($B9,'АПП БАЗ (0)'!$B$8:$X$72,22,FALSE)),0)</f>
        <v>51556</v>
      </c>
      <c r="R9" s="266">
        <f>IFERROR((VLOOKUP($B9,'АПП БАЗ (0)'!$B$8:$X$72,11,FALSE)),0)*1000+IFERROR((VLOOKUP($B9,'АПП БАЗ (0)'!$B$8:$X$72,23,FALSE)),0)*1000</f>
        <v>16231375.48</v>
      </c>
      <c r="S9" s="264"/>
      <c r="T9" s="262"/>
      <c r="U9" s="268">
        <v>0</v>
      </c>
      <c r="V9" s="269">
        <v>0</v>
      </c>
      <c r="W9" s="268">
        <v>0</v>
      </c>
      <c r="X9" s="269">
        <v>0</v>
      </c>
      <c r="Y9" s="268">
        <v>0</v>
      </c>
      <c r="Z9" s="269">
        <v>0</v>
      </c>
      <c r="AA9" s="268">
        <v>0</v>
      </c>
      <c r="AB9" s="269">
        <v>0</v>
      </c>
      <c r="AC9" s="270">
        <v>0</v>
      </c>
      <c r="AD9" s="271">
        <v>0</v>
      </c>
      <c r="AE9" s="270">
        <v>0</v>
      </c>
      <c r="AF9" s="271">
        <v>0</v>
      </c>
      <c r="AG9" s="270">
        <v>0</v>
      </c>
      <c r="AH9" s="271">
        <v>0</v>
      </c>
      <c r="AI9" s="272">
        <f t="shared" si="4"/>
        <v>25500</v>
      </c>
      <c r="AJ9" s="272">
        <f t="shared" si="0"/>
        <v>51556</v>
      </c>
      <c r="AK9" s="273">
        <f t="shared" si="5"/>
        <v>0</v>
      </c>
      <c r="AL9" s="274">
        <f t="shared" si="5"/>
        <v>0</v>
      </c>
      <c r="AM9" s="275">
        <f t="shared" si="1"/>
        <v>82786350.480000004</v>
      </c>
      <c r="AN9" s="276">
        <f t="shared" si="6"/>
        <v>82786350.480000004</v>
      </c>
      <c r="AO9" s="277">
        <f t="shared" si="2"/>
        <v>67786350.480000004</v>
      </c>
      <c r="AP9" s="279">
        <v>82786350.480000004</v>
      </c>
      <c r="AQ9" s="278">
        <f t="shared" si="7"/>
        <v>82786350.480000004</v>
      </c>
      <c r="AR9" s="279">
        <f>IFERROR((VLOOKUP(B9,#REF!,24,FALSE)*1000),0)</f>
        <v>0</v>
      </c>
      <c r="AS9" s="280"/>
      <c r="AT9" s="334">
        <f t="shared" si="8"/>
        <v>82786350.480000004</v>
      </c>
      <c r="AU9" s="281">
        <f t="shared" si="3"/>
        <v>0</v>
      </c>
    </row>
    <row r="10" spans="1:47" ht="18" customHeight="1" x14ac:dyDescent="0.25">
      <c r="A10" s="261">
        <v>7</v>
      </c>
      <c r="B10" s="5">
        <v>390070</v>
      </c>
      <c r="C10" s="6" t="s">
        <v>87</v>
      </c>
      <c r="D10" s="262"/>
      <c r="E10" s="263"/>
      <c r="F10" s="264"/>
      <c r="G10" s="262"/>
      <c r="H10" s="264"/>
      <c r="I10" s="262"/>
      <c r="J10" s="264"/>
      <c r="K10" s="262"/>
      <c r="L10" s="265">
        <f>IFERROR((VLOOKUP($B10,'АПП БАЗ (0)'!$B$8:$X$72,3,FALSE)),0)</f>
        <v>0</v>
      </c>
      <c r="M10" s="266">
        <f>IFERROR((VLOOKUP($B10,'АПП БАЗ (0)'!$B$8:$X$72,4,FALSE)*1000),0)-P10</f>
        <v>38815850.000000007</v>
      </c>
      <c r="N10" s="264"/>
      <c r="O10" s="262"/>
      <c r="P10" s="267">
        <v>0</v>
      </c>
      <c r="Q10" s="265">
        <f>IFERROR((VLOOKUP($B10,'АПП БАЗ (0)'!$B$8:$X$72,10,FALSE)),0)+IFERROR((VLOOKUP($B10,'АПП БАЗ (0)'!$B$8:$X$72,22,FALSE)),0)</f>
        <v>52000</v>
      </c>
      <c r="R10" s="266">
        <f>IFERROR((VLOOKUP($B10,'АПП БАЗ (0)'!$B$8:$X$72,11,FALSE)),0)*1000+IFERROR((VLOOKUP($B10,'АПП БАЗ (0)'!$B$8:$X$72,23,FALSE)),0)*1000</f>
        <v>61796280</v>
      </c>
      <c r="S10" s="264"/>
      <c r="T10" s="262"/>
      <c r="U10" s="268">
        <v>0</v>
      </c>
      <c r="V10" s="269">
        <v>0</v>
      </c>
      <c r="W10" s="268">
        <v>0</v>
      </c>
      <c r="X10" s="269">
        <v>0</v>
      </c>
      <c r="Y10" s="268">
        <v>0</v>
      </c>
      <c r="Z10" s="269">
        <v>0</v>
      </c>
      <c r="AA10" s="268">
        <v>0</v>
      </c>
      <c r="AB10" s="269">
        <v>0</v>
      </c>
      <c r="AC10" s="270">
        <v>0</v>
      </c>
      <c r="AD10" s="271">
        <v>0</v>
      </c>
      <c r="AE10" s="270">
        <v>0</v>
      </c>
      <c r="AF10" s="271">
        <v>0</v>
      </c>
      <c r="AG10" s="270">
        <v>0</v>
      </c>
      <c r="AH10" s="271">
        <v>0</v>
      </c>
      <c r="AI10" s="272">
        <f t="shared" si="4"/>
        <v>0</v>
      </c>
      <c r="AJ10" s="272">
        <f t="shared" si="0"/>
        <v>52000</v>
      </c>
      <c r="AK10" s="273">
        <f t="shared" si="5"/>
        <v>0</v>
      </c>
      <c r="AL10" s="274">
        <f t="shared" si="5"/>
        <v>0</v>
      </c>
      <c r="AM10" s="275">
        <f t="shared" si="1"/>
        <v>100612130</v>
      </c>
      <c r="AN10" s="276">
        <f t="shared" si="6"/>
        <v>100612130</v>
      </c>
      <c r="AO10" s="277">
        <f t="shared" si="2"/>
        <v>100612130</v>
      </c>
      <c r="AP10" s="279">
        <v>100612130</v>
      </c>
      <c r="AQ10" s="278">
        <f t="shared" si="7"/>
        <v>100612130</v>
      </c>
      <c r="AR10" s="279">
        <f>IFERROR((VLOOKUP(B10,#REF!,24,FALSE)*1000),0)</f>
        <v>0</v>
      </c>
      <c r="AS10" s="280"/>
      <c r="AT10" s="334">
        <f t="shared" si="8"/>
        <v>100612130</v>
      </c>
      <c r="AU10" s="281">
        <f t="shared" si="3"/>
        <v>0</v>
      </c>
    </row>
    <row r="11" spans="1:47" ht="18" customHeight="1" x14ac:dyDescent="0.25">
      <c r="A11" s="261">
        <v>8</v>
      </c>
      <c r="B11" s="5">
        <v>390520</v>
      </c>
      <c r="C11" s="6" t="s">
        <v>112</v>
      </c>
      <c r="D11" s="262"/>
      <c r="E11" s="263"/>
      <c r="F11" s="264"/>
      <c r="G11" s="262"/>
      <c r="H11" s="264"/>
      <c r="I11" s="262"/>
      <c r="J11" s="264"/>
      <c r="K11" s="262"/>
      <c r="L11" s="265">
        <f>IFERROR((VLOOKUP($B11,'АПП БАЗ (0)'!$B$8:$X$72,3,FALSE)),0)</f>
        <v>0</v>
      </c>
      <c r="M11" s="266">
        <f>IFERROR((VLOOKUP($B11,'АПП БАЗ (0)'!$B$8:$X$72,4,FALSE)*1000),0)-P11</f>
        <v>0</v>
      </c>
      <c r="N11" s="264"/>
      <c r="O11" s="262"/>
      <c r="P11" s="267">
        <v>0</v>
      </c>
      <c r="Q11" s="265">
        <f>IFERROR((VLOOKUP($B11,'АПП БАЗ (0)'!$B$8:$X$72,10,FALSE)),0)+IFERROR((VLOOKUP($B11,'АПП БАЗ (0)'!$B$8:$X$72,22,FALSE)),0)</f>
        <v>55600</v>
      </c>
      <c r="R11" s="266">
        <f>IFERROR((VLOOKUP($B11,'АПП БАЗ (0)'!$B$8:$X$72,11,FALSE)),0)*1000+IFERROR((VLOOKUP($B11,'АПП БАЗ (0)'!$B$8:$X$72,23,FALSE)),0)*1000</f>
        <v>37296480</v>
      </c>
      <c r="S11" s="264"/>
      <c r="T11" s="262"/>
      <c r="U11" s="268">
        <v>0</v>
      </c>
      <c r="V11" s="269">
        <v>0</v>
      </c>
      <c r="W11" s="268">
        <v>0</v>
      </c>
      <c r="X11" s="269">
        <v>0</v>
      </c>
      <c r="Y11" s="268">
        <v>0</v>
      </c>
      <c r="Z11" s="269">
        <v>0</v>
      </c>
      <c r="AA11" s="268">
        <v>0</v>
      </c>
      <c r="AB11" s="269">
        <v>0</v>
      </c>
      <c r="AC11" s="270">
        <v>0</v>
      </c>
      <c r="AD11" s="271">
        <v>0</v>
      </c>
      <c r="AE11" s="270">
        <v>0</v>
      </c>
      <c r="AF11" s="271">
        <v>0</v>
      </c>
      <c r="AG11" s="270">
        <v>0</v>
      </c>
      <c r="AH11" s="271">
        <v>0</v>
      </c>
      <c r="AI11" s="272">
        <f t="shared" si="4"/>
        <v>0</v>
      </c>
      <c r="AJ11" s="272">
        <f t="shared" si="0"/>
        <v>55600</v>
      </c>
      <c r="AK11" s="273">
        <f t="shared" si="5"/>
        <v>0</v>
      </c>
      <c r="AL11" s="274">
        <f t="shared" si="5"/>
        <v>0</v>
      </c>
      <c r="AM11" s="275">
        <f t="shared" si="1"/>
        <v>37296480</v>
      </c>
      <c r="AN11" s="276">
        <f t="shared" si="6"/>
        <v>37296480</v>
      </c>
      <c r="AO11" s="277">
        <f t="shared" si="2"/>
        <v>37296480</v>
      </c>
      <c r="AP11" s="279">
        <v>37296480</v>
      </c>
      <c r="AQ11" s="278">
        <f t="shared" si="7"/>
        <v>37296480</v>
      </c>
      <c r="AR11" s="279">
        <f>IFERROR((VLOOKUP(B11,#REF!,24,FALSE)*1000),0)</f>
        <v>0</v>
      </c>
      <c r="AS11" s="280"/>
      <c r="AT11" s="334">
        <f t="shared" si="8"/>
        <v>37296480</v>
      </c>
      <c r="AU11" s="281">
        <f t="shared" si="3"/>
        <v>0</v>
      </c>
    </row>
    <row r="12" spans="1:47" ht="18" customHeight="1" x14ac:dyDescent="0.25">
      <c r="A12" s="261">
        <v>9</v>
      </c>
      <c r="B12" s="5">
        <v>390130</v>
      </c>
      <c r="C12" s="6" t="s">
        <v>113</v>
      </c>
      <c r="D12" s="262"/>
      <c r="E12" s="263"/>
      <c r="F12" s="264"/>
      <c r="G12" s="262"/>
      <c r="H12" s="264"/>
      <c r="I12" s="262"/>
      <c r="J12" s="264"/>
      <c r="K12" s="262"/>
      <c r="L12" s="265">
        <f>IFERROR((VLOOKUP($B12,'АПП БАЗ (0)'!$B$8:$X$72,3,FALSE)),0)</f>
        <v>5017</v>
      </c>
      <c r="M12" s="266">
        <f>IFERROR((VLOOKUP($B12,'АПП БАЗ (0)'!$B$8:$X$72,4,FALSE)*1000),0)</f>
        <v>6643962.9299999997</v>
      </c>
      <c r="N12" s="264"/>
      <c r="O12" s="262"/>
      <c r="P12" s="267">
        <v>0</v>
      </c>
      <c r="Q12" s="265">
        <f>IFERROR((VLOOKUP($B12,'АПП БАЗ (0)'!$B$8:$X$72,10,FALSE)),0)+IFERROR((VLOOKUP($B12,'АПП БАЗ (0)'!$B$8:$X$72,22,FALSE)),0)</f>
        <v>70841</v>
      </c>
      <c r="R12" s="266">
        <f>IFERROR((VLOOKUP($B12,'АПП БАЗ (0)'!$B$8:$X$72,11,FALSE)),0)*1000+IFERROR((VLOOKUP($B12,'АПП БАЗ (0)'!$B$8:$X$72,23,FALSE)),0)*1000</f>
        <v>22302872.030000001</v>
      </c>
      <c r="S12" s="264"/>
      <c r="T12" s="262"/>
      <c r="U12" s="268">
        <v>0</v>
      </c>
      <c r="V12" s="269">
        <v>0</v>
      </c>
      <c r="W12" s="268">
        <v>0</v>
      </c>
      <c r="X12" s="269">
        <v>0</v>
      </c>
      <c r="Y12" s="268">
        <v>0</v>
      </c>
      <c r="Z12" s="269">
        <v>0</v>
      </c>
      <c r="AA12" s="268">
        <v>0</v>
      </c>
      <c r="AB12" s="269">
        <v>0</v>
      </c>
      <c r="AC12" s="270">
        <v>0</v>
      </c>
      <c r="AD12" s="271">
        <v>0</v>
      </c>
      <c r="AE12" s="270">
        <v>0</v>
      </c>
      <c r="AF12" s="271">
        <v>0</v>
      </c>
      <c r="AG12" s="270">
        <v>0</v>
      </c>
      <c r="AH12" s="271">
        <v>0</v>
      </c>
      <c r="AI12" s="272">
        <f t="shared" si="4"/>
        <v>5017</v>
      </c>
      <c r="AJ12" s="272">
        <f t="shared" si="0"/>
        <v>70841</v>
      </c>
      <c r="AK12" s="273">
        <f t="shared" si="5"/>
        <v>0</v>
      </c>
      <c r="AL12" s="274">
        <f t="shared" si="5"/>
        <v>0</v>
      </c>
      <c r="AM12" s="275">
        <f t="shared" si="1"/>
        <v>28946834.960000001</v>
      </c>
      <c r="AN12" s="276">
        <f t="shared" si="6"/>
        <v>28946834.960000001</v>
      </c>
      <c r="AO12" s="277">
        <f t="shared" si="2"/>
        <v>28946834.960000001</v>
      </c>
      <c r="AP12" s="279">
        <v>28946834.960000001</v>
      </c>
      <c r="AQ12" s="278">
        <f t="shared" si="7"/>
        <v>28946834.960000001</v>
      </c>
      <c r="AR12" s="279">
        <f>IFERROR((VLOOKUP(B12,#REF!,24,FALSE)*1000),0)</f>
        <v>0</v>
      </c>
      <c r="AS12" s="280"/>
      <c r="AT12" s="334">
        <f t="shared" si="8"/>
        <v>28946834.960000001</v>
      </c>
      <c r="AU12" s="281">
        <f t="shared" si="3"/>
        <v>0</v>
      </c>
    </row>
    <row r="13" spans="1:47" ht="18" customHeight="1" x14ac:dyDescent="0.25">
      <c r="A13" s="261">
        <v>10</v>
      </c>
      <c r="B13" s="5">
        <v>390680</v>
      </c>
      <c r="C13" s="6" t="s">
        <v>114</v>
      </c>
      <c r="D13" s="262"/>
      <c r="E13" s="263"/>
      <c r="F13" s="264"/>
      <c r="G13" s="262"/>
      <c r="H13" s="264"/>
      <c r="I13" s="262"/>
      <c r="J13" s="264"/>
      <c r="K13" s="262"/>
      <c r="L13" s="265">
        <f>IFERROR((VLOOKUP($B13,'АПП БАЗ (0)'!$B$8:$X$72,3,FALSE)),0)</f>
        <v>12356</v>
      </c>
      <c r="M13" s="266">
        <f>IFERROR((VLOOKUP($B13,'АПП БАЗ (0)'!$B$8:$X$72,4,FALSE)*1000),0)</f>
        <v>16362927.24</v>
      </c>
      <c r="N13" s="264"/>
      <c r="O13" s="262"/>
      <c r="P13" s="267">
        <v>0</v>
      </c>
      <c r="Q13" s="265">
        <f>IFERROR((VLOOKUP($B13,'АПП БАЗ (0)'!$B$8:$X$72,10,FALSE)),0)+IFERROR((VLOOKUP($B13,'АПП БАЗ (0)'!$B$8:$X$72,22,FALSE)),0)</f>
        <v>79061</v>
      </c>
      <c r="R13" s="266">
        <f>IFERROR((VLOOKUP($B13,'АПП БАЗ (0)'!$B$8:$X$72,11,FALSE)),0)*1000+IFERROR((VLOOKUP($B13,'АПП БАЗ (0)'!$B$8:$X$72,23,FALSE)),0)*1000</f>
        <v>24890774.629999999</v>
      </c>
      <c r="S13" s="264"/>
      <c r="T13" s="262"/>
      <c r="U13" s="268">
        <v>0</v>
      </c>
      <c r="V13" s="269">
        <v>0</v>
      </c>
      <c r="W13" s="268">
        <v>0</v>
      </c>
      <c r="X13" s="269">
        <v>0</v>
      </c>
      <c r="Y13" s="268">
        <v>0</v>
      </c>
      <c r="Z13" s="269">
        <v>0</v>
      </c>
      <c r="AA13" s="268">
        <v>0</v>
      </c>
      <c r="AB13" s="269">
        <v>0</v>
      </c>
      <c r="AC13" s="270">
        <v>1092.2179999999998</v>
      </c>
      <c r="AD13" s="271">
        <v>413000</v>
      </c>
      <c r="AE13" s="270">
        <v>788.26</v>
      </c>
      <c r="AF13" s="271">
        <v>333000</v>
      </c>
      <c r="AG13" s="270">
        <v>270.45600000000002</v>
      </c>
      <c r="AH13" s="271">
        <v>33000</v>
      </c>
      <c r="AI13" s="272">
        <f t="shared" si="4"/>
        <v>12356</v>
      </c>
      <c r="AJ13" s="272">
        <f t="shared" si="0"/>
        <v>80119.716</v>
      </c>
      <c r="AK13" s="273">
        <f t="shared" si="5"/>
        <v>0</v>
      </c>
      <c r="AL13" s="274">
        <f t="shared" si="5"/>
        <v>0</v>
      </c>
      <c r="AM13" s="275">
        <f t="shared" si="1"/>
        <v>42032701.869999997</v>
      </c>
      <c r="AN13" s="276">
        <f t="shared" si="6"/>
        <v>42032701.869999997</v>
      </c>
      <c r="AO13" s="277">
        <f t="shared" si="2"/>
        <v>42032701.869999997</v>
      </c>
      <c r="AP13" s="279">
        <v>42311774.489999995</v>
      </c>
      <c r="AQ13" s="278">
        <f t="shared" si="7"/>
        <v>41253701.869999997</v>
      </c>
      <c r="AR13" s="279">
        <f>IFERROR((VLOOKUP(B13,#REF!,24,FALSE)*1000),0)</f>
        <v>0</v>
      </c>
      <c r="AS13" s="280"/>
      <c r="AT13" s="334">
        <f t="shared" si="8"/>
        <v>41253701.869999997</v>
      </c>
      <c r="AU13" s="281">
        <f t="shared" si="3"/>
        <v>-279072.61999999732</v>
      </c>
    </row>
    <row r="14" spans="1:47" ht="18" customHeight="1" x14ac:dyDescent="0.25">
      <c r="A14" s="261">
        <v>11</v>
      </c>
      <c r="B14" s="5">
        <v>390700</v>
      </c>
      <c r="C14" s="6" t="s">
        <v>115</v>
      </c>
      <c r="D14" s="262"/>
      <c r="E14" s="263"/>
      <c r="F14" s="264"/>
      <c r="G14" s="262"/>
      <c r="H14" s="264"/>
      <c r="I14" s="262"/>
      <c r="J14" s="264"/>
      <c r="K14" s="262"/>
      <c r="L14" s="265">
        <f>IFERROR((VLOOKUP($B14,'АПП БАЗ (0)'!$B$8:$X$72,3,FALSE)),0)</f>
        <v>590</v>
      </c>
      <c r="M14" s="266">
        <f>IFERROR((VLOOKUP($B14,'АПП БАЗ (0)'!$B$8:$X$72,4,FALSE)*1000),0)</f>
        <v>781331.1</v>
      </c>
      <c r="N14" s="264"/>
      <c r="O14" s="262"/>
      <c r="P14" s="267">
        <v>0</v>
      </c>
      <c r="Q14" s="265">
        <f>IFERROR((VLOOKUP($B14,'АПП БАЗ (0)'!$B$8:$X$72,10,FALSE)),0)+IFERROR((VLOOKUP($B14,'АПП БАЗ (0)'!$B$8:$X$72,22,FALSE)),0)</f>
        <v>1800</v>
      </c>
      <c r="R14" s="266">
        <f>IFERROR((VLOOKUP($B14,'АПП БАЗ (0)'!$B$8:$X$72,11,FALSE)),0)*1000+IFERROR((VLOOKUP($B14,'АПП БАЗ (0)'!$B$8:$X$72,23,FALSE)),0)*1000</f>
        <v>566694</v>
      </c>
      <c r="S14" s="264"/>
      <c r="T14" s="262"/>
      <c r="U14" s="268">
        <v>0</v>
      </c>
      <c r="V14" s="269">
        <v>0</v>
      </c>
      <c r="W14" s="268">
        <v>0</v>
      </c>
      <c r="X14" s="269">
        <v>0</v>
      </c>
      <c r="Y14" s="268">
        <v>0</v>
      </c>
      <c r="Z14" s="269">
        <v>0</v>
      </c>
      <c r="AA14" s="268">
        <v>0</v>
      </c>
      <c r="AB14" s="269">
        <v>0</v>
      </c>
      <c r="AC14" s="270">
        <v>187.614</v>
      </c>
      <c r="AD14" s="271">
        <v>0</v>
      </c>
      <c r="AE14" s="270">
        <v>0</v>
      </c>
      <c r="AF14" s="271">
        <v>231000</v>
      </c>
      <c r="AG14" s="270">
        <v>187.614</v>
      </c>
      <c r="AH14" s="271">
        <v>0</v>
      </c>
      <c r="AI14" s="272">
        <f t="shared" si="4"/>
        <v>590</v>
      </c>
      <c r="AJ14" s="272">
        <f t="shared" si="0"/>
        <v>1987.614</v>
      </c>
      <c r="AK14" s="273">
        <f t="shared" si="5"/>
        <v>0</v>
      </c>
      <c r="AL14" s="274">
        <f t="shared" si="5"/>
        <v>0</v>
      </c>
      <c r="AM14" s="275">
        <f t="shared" si="1"/>
        <v>1579025.1</v>
      </c>
      <c r="AN14" s="276">
        <f t="shared" si="6"/>
        <v>1579025.1</v>
      </c>
      <c r="AO14" s="277">
        <f t="shared" si="2"/>
        <v>1579025.1</v>
      </c>
      <c r="AP14" s="279">
        <v>1522525.1</v>
      </c>
      <c r="AQ14" s="278">
        <f t="shared" si="7"/>
        <v>1348025.1</v>
      </c>
      <c r="AR14" s="279">
        <f>IFERROR((VLOOKUP(B14,#REF!,24,FALSE)*1000),0)</f>
        <v>0</v>
      </c>
      <c r="AS14" s="280"/>
      <c r="AT14" s="334">
        <f t="shared" si="8"/>
        <v>1348025.1</v>
      </c>
      <c r="AU14" s="281">
        <f t="shared" si="3"/>
        <v>56500</v>
      </c>
    </row>
    <row r="15" spans="1:47" ht="18" customHeight="1" x14ac:dyDescent="0.25">
      <c r="A15" s="261">
        <v>12</v>
      </c>
      <c r="B15" s="5">
        <v>391610</v>
      </c>
      <c r="C15" s="6" t="s">
        <v>104</v>
      </c>
      <c r="D15" s="262"/>
      <c r="E15" s="263"/>
      <c r="F15" s="264"/>
      <c r="G15" s="262"/>
      <c r="H15" s="264"/>
      <c r="I15" s="262"/>
      <c r="J15" s="264"/>
      <c r="K15" s="262"/>
      <c r="L15" s="265">
        <f>IFERROR((VLOOKUP($B15,'АПП БАЗ (0)'!$B$8:$X$72,3,FALSE)),0)</f>
        <v>0</v>
      </c>
      <c r="M15" s="266">
        <f>IFERROR((VLOOKUP($B15,'АПП БАЗ (0)'!$B$8:$X$72,4,FALSE)*1000),0)-P15</f>
        <v>24696440.000000004</v>
      </c>
      <c r="N15" s="264"/>
      <c r="O15" s="262"/>
      <c r="P15" s="267">
        <v>0</v>
      </c>
      <c r="Q15" s="265">
        <f>IFERROR((VLOOKUP($B15,'АПП БАЗ (0)'!$B$8:$X$72,10,FALSE)),0)+IFERROR((VLOOKUP($B15,'АПП БАЗ (0)'!$B$8:$X$72,22,FALSE)),0)</f>
        <v>21615</v>
      </c>
      <c r="R15" s="266">
        <f>IFERROR((VLOOKUP($B15,'АПП БАЗ (0)'!$B$8:$X$72,11,FALSE)),0)*1000+IFERROR((VLOOKUP($B15,'АПП БАЗ (0)'!$B$8:$X$72,23,FALSE)),0)*1000</f>
        <v>6805050.4500000002</v>
      </c>
      <c r="S15" s="264"/>
      <c r="T15" s="262"/>
      <c r="U15" s="268">
        <v>0</v>
      </c>
      <c r="V15" s="269">
        <v>0</v>
      </c>
      <c r="W15" s="268">
        <v>0</v>
      </c>
      <c r="X15" s="269">
        <v>0</v>
      </c>
      <c r="Y15" s="268">
        <v>0</v>
      </c>
      <c r="Z15" s="269">
        <v>0</v>
      </c>
      <c r="AA15" s="268">
        <v>0</v>
      </c>
      <c r="AB15" s="269">
        <v>0</v>
      </c>
      <c r="AC15" s="270">
        <v>0</v>
      </c>
      <c r="AD15" s="271">
        <v>0</v>
      </c>
      <c r="AE15" s="270">
        <v>0</v>
      </c>
      <c r="AF15" s="271">
        <v>0</v>
      </c>
      <c r="AG15" s="270">
        <v>0</v>
      </c>
      <c r="AH15" s="271">
        <v>0</v>
      </c>
      <c r="AI15" s="272">
        <f t="shared" si="4"/>
        <v>0</v>
      </c>
      <c r="AJ15" s="272">
        <f t="shared" si="0"/>
        <v>21615</v>
      </c>
      <c r="AK15" s="273">
        <f t="shared" si="5"/>
        <v>0</v>
      </c>
      <c r="AL15" s="274">
        <f t="shared" si="5"/>
        <v>0</v>
      </c>
      <c r="AM15" s="275">
        <f t="shared" si="1"/>
        <v>31501490.450000003</v>
      </c>
      <c r="AN15" s="276">
        <f t="shared" si="6"/>
        <v>31501490.450000003</v>
      </c>
      <c r="AO15" s="277">
        <f t="shared" si="2"/>
        <v>31501490.450000003</v>
      </c>
      <c r="AP15" s="279">
        <v>31501490.449999999</v>
      </c>
      <c r="AQ15" s="278">
        <f t="shared" si="7"/>
        <v>31501490.450000003</v>
      </c>
      <c r="AR15" s="279">
        <f>IFERROR((VLOOKUP(B15,#REF!,24,FALSE)*1000),0)</f>
        <v>0</v>
      </c>
      <c r="AS15" s="280"/>
      <c r="AT15" s="334">
        <f t="shared" si="8"/>
        <v>31501490.450000003</v>
      </c>
      <c r="AU15" s="281">
        <f t="shared" si="3"/>
        <v>0</v>
      </c>
    </row>
    <row r="16" spans="1:47" ht="16.5" customHeight="1" x14ac:dyDescent="0.25">
      <c r="A16" s="256">
        <v>13</v>
      </c>
      <c r="B16" s="5">
        <v>390440</v>
      </c>
      <c r="C16" s="67" t="s">
        <v>95</v>
      </c>
      <c r="D16" s="286">
        <v>186830950.65999997</v>
      </c>
      <c r="E16" s="263"/>
      <c r="F16" s="264">
        <f>VLOOKUP($B16,'АПП БАЗ (0)'!$B$8:$X$72,3,FALSE)</f>
        <v>133543</v>
      </c>
      <c r="G16" s="262"/>
      <c r="H16" s="264">
        <f>VLOOKUP($B16,'АПП БАЗ (0)'!$B$8:$X$72,10,FALSE)</f>
        <v>139848</v>
      </c>
      <c r="I16" s="262"/>
      <c r="J16" s="264">
        <f>VLOOKUP($B16,'АПП БАЗ (0)'!$B$8:$X$72,22,FALSE)</f>
        <v>38121</v>
      </c>
      <c r="K16" s="262"/>
      <c r="L16" s="265"/>
      <c r="M16" s="266"/>
      <c r="N16" s="264"/>
      <c r="O16" s="262"/>
      <c r="P16" s="267">
        <v>26000000</v>
      </c>
      <c r="Q16" s="265"/>
      <c r="R16" s="266"/>
      <c r="S16" s="264"/>
      <c r="T16" s="262"/>
      <c r="U16" s="268">
        <v>0</v>
      </c>
      <c r="V16" s="269">
        <v>0</v>
      </c>
      <c r="W16" s="268">
        <v>0</v>
      </c>
      <c r="X16" s="269">
        <v>0</v>
      </c>
      <c r="Y16" s="268">
        <v>0</v>
      </c>
      <c r="Z16" s="269">
        <v>0</v>
      </c>
      <c r="AA16" s="268">
        <v>0</v>
      </c>
      <c r="AB16" s="269">
        <v>0</v>
      </c>
      <c r="AC16" s="270">
        <v>0</v>
      </c>
      <c r="AD16" s="271">
        <v>0</v>
      </c>
      <c r="AE16" s="270">
        <v>0</v>
      </c>
      <c r="AF16" s="271">
        <v>0</v>
      </c>
      <c r="AG16" s="270">
        <v>0</v>
      </c>
      <c r="AH16" s="271">
        <v>0</v>
      </c>
      <c r="AI16" s="272">
        <f>L16+N16</f>
        <v>0</v>
      </c>
      <c r="AJ16" s="272">
        <f t="shared" si="0"/>
        <v>0</v>
      </c>
      <c r="AK16" s="273">
        <f t="shared" si="5"/>
        <v>0</v>
      </c>
      <c r="AL16" s="274">
        <f t="shared" si="5"/>
        <v>0</v>
      </c>
      <c r="AM16" s="275">
        <f t="shared" si="1"/>
        <v>26000000</v>
      </c>
      <c r="AN16" s="276">
        <f>D16+E16+AM16</f>
        <v>212830950.65999997</v>
      </c>
      <c r="AO16" s="277">
        <f t="shared" si="2"/>
        <v>0</v>
      </c>
      <c r="AP16" s="279">
        <v>343942641.47999996</v>
      </c>
      <c r="AQ16" s="278">
        <f t="shared" si="7"/>
        <v>212830950.65999997</v>
      </c>
      <c r="AR16" s="279">
        <f>IFERROR((VLOOKUP(B16,#REF!,24,FALSE)*1000),0)</f>
        <v>0</v>
      </c>
      <c r="AS16" s="280"/>
      <c r="AT16" s="334">
        <f t="shared" si="8"/>
        <v>212830950.65999997</v>
      </c>
      <c r="AU16" s="281">
        <f t="shared" si="3"/>
        <v>-131111690.81999999</v>
      </c>
    </row>
    <row r="17" spans="1:47" x14ac:dyDescent="0.25">
      <c r="A17" s="261">
        <v>14</v>
      </c>
      <c r="B17" s="5">
        <v>390100</v>
      </c>
      <c r="C17" s="67" t="s">
        <v>93</v>
      </c>
      <c r="D17" s="286">
        <v>134416423.97999999</v>
      </c>
      <c r="E17" s="263"/>
      <c r="F17" s="264">
        <f>VLOOKUP($B17,'АПП БАЗ (0)'!$B$8:$X$72,3,FALSE)</f>
        <v>107695</v>
      </c>
      <c r="G17" s="262"/>
      <c r="H17" s="264">
        <f>VLOOKUP($B17,'АПП БАЗ (0)'!$B$8:$X$72,10,FALSE)</f>
        <v>112780</v>
      </c>
      <c r="I17" s="262"/>
      <c r="J17" s="264">
        <f>VLOOKUP($B17,'АПП БАЗ (0)'!$B$8:$X$72,22,FALSE)</f>
        <v>30474</v>
      </c>
      <c r="K17" s="262"/>
      <c r="L17" s="265"/>
      <c r="M17" s="266"/>
      <c r="N17" s="264"/>
      <c r="O17" s="262"/>
      <c r="P17" s="267">
        <v>0</v>
      </c>
      <c r="Q17" s="265"/>
      <c r="R17" s="266"/>
      <c r="S17" s="264"/>
      <c r="T17" s="262"/>
      <c r="U17" s="268">
        <v>0</v>
      </c>
      <c r="V17" s="269">
        <v>0</v>
      </c>
      <c r="W17" s="268">
        <v>0</v>
      </c>
      <c r="X17" s="269">
        <v>0</v>
      </c>
      <c r="Y17" s="268">
        <v>0</v>
      </c>
      <c r="Z17" s="269">
        <v>0</v>
      </c>
      <c r="AA17" s="268">
        <v>0</v>
      </c>
      <c r="AB17" s="269">
        <v>0</v>
      </c>
      <c r="AC17" s="270">
        <v>10350.237999999999</v>
      </c>
      <c r="AD17" s="271">
        <v>4007000</v>
      </c>
      <c r="AE17" s="270">
        <v>7648.28</v>
      </c>
      <c r="AF17" s="271">
        <v>3020000</v>
      </c>
      <c r="AG17" s="270">
        <v>2452.194</v>
      </c>
      <c r="AH17" s="271">
        <v>246000</v>
      </c>
      <c r="AI17" s="272">
        <f>AC17</f>
        <v>10350.237999999999</v>
      </c>
      <c r="AJ17" s="272">
        <f>Q17+S17+U17+W17+Y17+AA17+AE17+AG17</f>
        <v>10100.474</v>
      </c>
      <c r="AK17" s="273">
        <f t="shared" si="5"/>
        <v>0</v>
      </c>
      <c r="AL17" s="274">
        <f t="shared" si="5"/>
        <v>0</v>
      </c>
      <c r="AM17" s="275">
        <f t="shared" si="1"/>
        <v>7273000</v>
      </c>
      <c r="AN17" s="276">
        <f t="shared" si="6"/>
        <v>141689423.97999999</v>
      </c>
      <c r="AO17" s="277">
        <f t="shared" si="2"/>
        <v>7273000</v>
      </c>
      <c r="AP17" s="279">
        <v>261302552.20999998</v>
      </c>
      <c r="AQ17" s="278">
        <f t="shared" si="7"/>
        <v>134416423.97999999</v>
      </c>
      <c r="AR17" s="279">
        <f>IFERROR((VLOOKUP(B17,#REF!,24,FALSE)*1000),0)</f>
        <v>0</v>
      </c>
      <c r="AS17" s="280"/>
      <c r="AT17" s="334">
        <f t="shared" si="8"/>
        <v>134416423.97999999</v>
      </c>
      <c r="AU17" s="281">
        <f t="shared" si="3"/>
        <v>-119613128.22999999</v>
      </c>
    </row>
    <row r="18" spans="1:47" x14ac:dyDescent="0.25">
      <c r="A18" s="261">
        <v>15</v>
      </c>
      <c r="B18" s="5">
        <v>390090</v>
      </c>
      <c r="C18" s="67" t="s">
        <v>92</v>
      </c>
      <c r="D18" s="286">
        <v>141049495.50999999</v>
      </c>
      <c r="E18" s="263"/>
      <c r="F18" s="264">
        <f>VLOOKUP($B18,'АПП БАЗ (0)'!$B$8:$X$72,3,FALSE)</f>
        <v>106259</v>
      </c>
      <c r="G18" s="262"/>
      <c r="H18" s="264">
        <f>VLOOKUP($B18,'АПП БАЗ (0)'!$B$8:$X$72,10,FALSE)</f>
        <v>111277</v>
      </c>
      <c r="I18" s="262"/>
      <c r="J18" s="264">
        <f>VLOOKUP($B18,'АПП БАЗ (0)'!$B$8:$X$72,22,FALSE)</f>
        <v>30128</v>
      </c>
      <c r="K18" s="262"/>
      <c r="L18" s="265"/>
      <c r="M18" s="266"/>
      <c r="N18" s="264"/>
      <c r="O18" s="262"/>
      <c r="P18" s="267">
        <v>0</v>
      </c>
      <c r="Q18" s="265"/>
      <c r="R18" s="266"/>
      <c r="S18" s="264"/>
      <c r="T18" s="262"/>
      <c r="U18" s="268">
        <v>0</v>
      </c>
      <c r="V18" s="269">
        <v>0</v>
      </c>
      <c r="W18" s="268">
        <v>0</v>
      </c>
      <c r="X18" s="269">
        <v>0</v>
      </c>
      <c r="Y18" s="268">
        <v>0</v>
      </c>
      <c r="Z18" s="269">
        <v>0</v>
      </c>
      <c r="AA18" s="268">
        <v>0</v>
      </c>
      <c r="AB18" s="269">
        <v>0</v>
      </c>
      <c r="AC18" s="270">
        <v>5239.2449999999999</v>
      </c>
      <c r="AD18" s="271">
        <v>2051000</v>
      </c>
      <c r="AE18" s="270">
        <v>3914.58</v>
      </c>
      <c r="AF18" s="271">
        <v>1481000</v>
      </c>
      <c r="AG18" s="270">
        <v>1202.8389999999999</v>
      </c>
      <c r="AH18" s="271">
        <v>120000</v>
      </c>
      <c r="AI18" s="272">
        <f t="shared" ref="AI18:AI62" si="9">AC18</f>
        <v>5239.2449999999999</v>
      </c>
      <c r="AJ18" s="272">
        <f t="shared" si="0"/>
        <v>5117.4189999999999</v>
      </c>
      <c r="AK18" s="273">
        <f t="shared" si="5"/>
        <v>0</v>
      </c>
      <c r="AL18" s="274">
        <f t="shared" si="5"/>
        <v>0</v>
      </c>
      <c r="AM18" s="275">
        <f t="shared" si="1"/>
        <v>3652000</v>
      </c>
      <c r="AN18" s="276">
        <f t="shared" si="6"/>
        <v>144701495.50999999</v>
      </c>
      <c r="AO18" s="277">
        <f t="shared" si="2"/>
        <v>3652000</v>
      </c>
      <c r="AP18" s="279">
        <v>221857096.62000003</v>
      </c>
      <c r="AQ18" s="278">
        <f t="shared" si="7"/>
        <v>141049495.50999999</v>
      </c>
      <c r="AR18" s="279">
        <f>IFERROR((VLOOKUP(B18,#REF!,24,FALSE)*1000),0)</f>
        <v>0</v>
      </c>
      <c r="AS18" s="280"/>
      <c r="AT18" s="334">
        <f t="shared" si="8"/>
        <v>141049495.50999999</v>
      </c>
      <c r="AU18" s="281">
        <f t="shared" si="3"/>
        <v>-77155601.110000044</v>
      </c>
    </row>
    <row r="19" spans="1:47" x14ac:dyDescent="0.25">
      <c r="A19" s="256">
        <v>16</v>
      </c>
      <c r="B19" s="5">
        <v>390400</v>
      </c>
      <c r="C19" s="67" t="s">
        <v>94</v>
      </c>
      <c r="D19" s="286">
        <v>315355459.06</v>
      </c>
      <c r="E19" s="263"/>
      <c r="F19" s="264">
        <f>VLOOKUP($B19,'АПП БАЗ (0)'!$B$8:$X$72,3,FALSE)</f>
        <v>228313</v>
      </c>
      <c r="G19" s="262"/>
      <c r="H19" s="264">
        <f>VLOOKUP($B19,'АПП БАЗ (0)'!$B$8:$X$72,10,FALSE)</f>
        <v>239094</v>
      </c>
      <c r="I19" s="262"/>
      <c r="J19" s="264">
        <f>VLOOKUP($B19,'АПП БАЗ (0)'!$B$8:$X$72,22,FALSE)</f>
        <v>65091</v>
      </c>
      <c r="K19" s="262"/>
      <c r="L19" s="265"/>
      <c r="M19" s="266"/>
      <c r="N19" s="264"/>
      <c r="O19" s="262"/>
      <c r="P19" s="267">
        <v>0</v>
      </c>
      <c r="Q19" s="265"/>
      <c r="R19" s="266"/>
      <c r="S19" s="264"/>
      <c r="T19" s="262"/>
      <c r="U19" s="268">
        <v>0</v>
      </c>
      <c r="V19" s="269">
        <v>0</v>
      </c>
      <c r="W19" s="268">
        <v>0</v>
      </c>
      <c r="X19" s="269">
        <v>0</v>
      </c>
      <c r="Y19" s="268">
        <v>0</v>
      </c>
      <c r="Z19" s="269">
        <v>0</v>
      </c>
      <c r="AA19" s="268">
        <v>0</v>
      </c>
      <c r="AB19" s="269">
        <v>0</v>
      </c>
      <c r="AC19" s="270">
        <v>1693.6779999999999</v>
      </c>
      <c r="AD19" s="271">
        <v>531000</v>
      </c>
      <c r="AE19" s="270">
        <v>1013.477</v>
      </c>
      <c r="AF19" s="271">
        <v>760000</v>
      </c>
      <c r="AG19" s="270">
        <v>617.25699999999995</v>
      </c>
      <c r="AH19" s="271">
        <v>62000</v>
      </c>
      <c r="AI19" s="272">
        <f t="shared" si="9"/>
        <v>1693.6779999999999</v>
      </c>
      <c r="AJ19" s="272">
        <f t="shared" si="0"/>
        <v>1630.7339999999999</v>
      </c>
      <c r="AK19" s="273">
        <f t="shared" si="5"/>
        <v>0</v>
      </c>
      <c r="AL19" s="274">
        <f t="shared" si="5"/>
        <v>0</v>
      </c>
      <c r="AM19" s="275">
        <f t="shared" si="1"/>
        <v>1353000</v>
      </c>
      <c r="AN19" s="276">
        <f t="shared" si="6"/>
        <v>316708459.06</v>
      </c>
      <c r="AO19" s="277">
        <f t="shared" si="2"/>
        <v>1353000</v>
      </c>
      <c r="AP19" s="279">
        <v>542283238</v>
      </c>
      <c r="AQ19" s="278">
        <f t="shared" si="7"/>
        <v>315355459.06</v>
      </c>
      <c r="AR19" s="279">
        <f>IFERROR((VLOOKUP(B19,#REF!,24,FALSE)*1000),0)</f>
        <v>0</v>
      </c>
      <c r="AS19" s="280"/>
      <c r="AT19" s="334">
        <f t="shared" si="8"/>
        <v>315355459.06</v>
      </c>
      <c r="AU19" s="281">
        <f t="shared" si="3"/>
        <v>-225574778.94</v>
      </c>
    </row>
    <row r="20" spans="1:47" x14ac:dyDescent="0.25">
      <c r="A20" s="261">
        <v>17</v>
      </c>
      <c r="B20" s="5">
        <v>390110</v>
      </c>
      <c r="C20" s="67" t="s">
        <v>99</v>
      </c>
      <c r="D20" s="286">
        <v>20080653.259999998</v>
      </c>
      <c r="E20" s="263"/>
      <c r="F20" s="264">
        <f>VLOOKUP($B20,'АПП БАЗ (0)'!$B$8:$X$72,3,FALSE)</f>
        <v>17231</v>
      </c>
      <c r="G20" s="262"/>
      <c r="H20" s="264">
        <f>VLOOKUP($B20,'АПП БАЗ (0)'!$B$8:$X$72,10,FALSE)</f>
        <v>18045</v>
      </c>
      <c r="I20" s="262"/>
      <c r="J20" s="264">
        <f>VLOOKUP($B20,'АПП БАЗ (0)'!$B$8:$X$72,22,FALSE)</f>
        <v>4886</v>
      </c>
      <c r="K20" s="262"/>
      <c r="L20" s="265"/>
      <c r="M20" s="266"/>
      <c r="N20" s="264"/>
      <c r="O20" s="262"/>
      <c r="P20" s="267">
        <v>0</v>
      </c>
      <c r="Q20" s="265"/>
      <c r="R20" s="266"/>
      <c r="S20" s="264"/>
      <c r="T20" s="262"/>
      <c r="U20" s="268">
        <v>0</v>
      </c>
      <c r="V20" s="269">
        <v>0</v>
      </c>
      <c r="W20" s="268">
        <v>0</v>
      </c>
      <c r="X20" s="269">
        <v>0</v>
      </c>
      <c r="Y20" s="268">
        <v>0</v>
      </c>
      <c r="Z20" s="269">
        <v>0</v>
      </c>
      <c r="AA20" s="268">
        <v>0</v>
      </c>
      <c r="AB20" s="269">
        <v>0</v>
      </c>
      <c r="AC20" s="270">
        <v>3925.2609999999995</v>
      </c>
      <c r="AD20" s="271">
        <v>1500000</v>
      </c>
      <c r="AE20" s="270">
        <v>2862.93</v>
      </c>
      <c r="AF20" s="271">
        <v>1188000</v>
      </c>
      <c r="AG20" s="270">
        <v>964.87</v>
      </c>
      <c r="AH20" s="271">
        <v>96000</v>
      </c>
      <c r="AI20" s="272">
        <f t="shared" si="9"/>
        <v>3925.2609999999995</v>
      </c>
      <c r="AJ20" s="272">
        <f t="shared" si="0"/>
        <v>3827.7999999999997</v>
      </c>
      <c r="AK20" s="273">
        <f t="shared" si="5"/>
        <v>0</v>
      </c>
      <c r="AL20" s="274">
        <f t="shared" si="5"/>
        <v>0</v>
      </c>
      <c r="AM20" s="275">
        <f t="shared" si="1"/>
        <v>2784000</v>
      </c>
      <c r="AN20" s="276">
        <f t="shared" si="6"/>
        <v>22864653.259999998</v>
      </c>
      <c r="AO20" s="277">
        <f t="shared" si="2"/>
        <v>2784000</v>
      </c>
      <c r="AP20" s="279">
        <v>66825140.149999991</v>
      </c>
      <c r="AQ20" s="278">
        <f t="shared" si="7"/>
        <v>20080653.259999998</v>
      </c>
      <c r="AR20" s="279">
        <f>IFERROR((VLOOKUP(B20,#REF!,24,FALSE)*1000),0)</f>
        <v>0</v>
      </c>
      <c r="AS20" s="280"/>
      <c r="AT20" s="334">
        <f t="shared" si="8"/>
        <v>20080653.259999998</v>
      </c>
      <c r="AU20" s="281">
        <f t="shared" si="3"/>
        <v>-43960486.889999993</v>
      </c>
    </row>
    <row r="21" spans="1:47" x14ac:dyDescent="0.25">
      <c r="A21" s="261">
        <v>18</v>
      </c>
      <c r="B21" s="5">
        <v>390890</v>
      </c>
      <c r="C21" s="67" t="s">
        <v>116</v>
      </c>
      <c r="D21" s="286">
        <v>421419199.93000001</v>
      </c>
      <c r="E21" s="263"/>
      <c r="F21" s="264">
        <f>VLOOKUP($B21,'АПП БАЗ (0)'!$B$8:$X$72,3,FALSE)</f>
        <v>162260</v>
      </c>
      <c r="G21" s="262"/>
      <c r="H21" s="264">
        <f>VLOOKUP($B21,'АПП БАЗ (0)'!$B$8:$X$72,10,FALSE)-500</f>
        <v>169922</v>
      </c>
      <c r="I21" s="262"/>
      <c r="J21" s="264">
        <f>VLOOKUP($B21,'АПП БАЗ (0)'!$B$8:$X$72,22,FALSE)</f>
        <v>46368</v>
      </c>
      <c r="K21" s="262"/>
      <c r="L21" s="265"/>
      <c r="M21" s="266"/>
      <c r="N21" s="264"/>
      <c r="O21" s="262"/>
      <c r="P21" s="267">
        <v>0</v>
      </c>
      <c r="Q21" s="265"/>
      <c r="R21" s="266"/>
      <c r="S21" s="96">
        <v>500</v>
      </c>
      <c r="T21" s="97">
        <v>9953000</v>
      </c>
      <c r="U21" s="268">
        <v>0</v>
      </c>
      <c r="V21" s="269">
        <v>0</v>
      </c>
      <c r="W21" s="268">
        <v>0</v>
      </c>
      <c r="X21" s="269">
        <v>0</v>
      </c>
      <c r="Y21" s="268">
        <v>0</v>
      </c>
      <c r="Z21" s="269">
        <v>0</v>
      </c>
      <c r="AA21" s="268">
        <v>0</v>
      </c>
      <c r="AB21" s="269">
        <v>0</v>
      </c>
      <c r="AC21" s="270">
        <v>3804.49</v>
      </c>
      <c r="AD21" s="271">
        <v>1213000</v>
      </c>
      <c r="AE21" s="270">
        <v>2315.1559999999999</v>
      </c>
      <c r="AF21" s="271">
        <v>1640000</v>
      </c>
      <c r="AG21" s="270">
        <v>1331.9749999999999</v>
      </c>
      <c r="AH21" s="271">
        <v>155000</v>
      </c>
      <c r="AI21" s="272">
        <f t="shared" si="9"/>
        <v>3804.49</v>
      </c>
      <c r="AJ21" s="272">
        <f t="shared" si="0"/>
        <v>4147.1309999999994</v>
      </c>
      <c r="AK21" s="273">
        <f t="shared" si="5"/>
        <v>0</v>
      </c>
      <c r="AL21" s="274">
        <f t="shared" si="5"/>
        <v>0</v>
      </c>
      <c r="AM21" s="275">
        <f t="shared" si="1"/>
        <v>12961000</v>
      </c>
      <c r="AN21" s="276">
        <f t="shared" si="6"/>
        <v>434380199.93000001</v>
      </c>
      <c r="AO21" s="277">
        <f t="shared" si="2"/>
        <v>12961000</v>
      </c>
      <c r="AP21" s="279">
        <v>677323295.68000007</v>
      </c>
      <c r="AQ21" s="278">
        <f t="shared" si="7"/>
        <v>431372199.93000001</v>
      </c>
      <c r="AR21" s="279">
        <f>IFERROR((VLOOKUP(B21,#REF!,24,FALSE)*1000),0)</f>
        <v>0</v>
      </c>
      <c r="AS21" s="280"/>
      <c r="AT21" s="334">
        <f t="shared" si="8"/>
        <v>431372199.93000001</v>
      </c>
      <c r="AU21" s="281">
        <f t="shared" si="3"/>
        <v>-242943095.75000006</v>
      </c>
    </row>
    <row r="22" spans="1:47" x14ac:dyDescent="0.25">
      <c r="A22" s="256">
        <v>19</v>
      </c>
      <c r="B22" s="5">
        <v>390200</v>
      </c>
      <c r="C22" s="67" t="s">
        <v>29</v>
      </c>
      <c r="D22" s="286">
        <v>57252973.999999993</v>
      </c>
      <c r="E22" s="263">
        <v>24105851.039999999</v>
      </c>
      <c r="F22" s="264">
        <f>VLOOKUP($B22,'АПП БАЗ (0)'!$B$8:$X$72,3,FALSE)</f>
        <v>34462</v>
      </c>
      <c r="G22" s="262"/>
      <c r="H22" s="264">
        <f>VLOOKUP($B22,'АПП БАЗ (0)'!$B$8:$X$72,10,FALSE)</f>
        <v>36090</v>
      </c>
      <c r="I22" s="262"/>
      <c r="J22" s="264">
        <f>VLOOKUP($B22,'АПП БАЗ (0)'!$B$8:$X$72,22,FALSE)</f>
        <v>9780</v>
      </c>
      <c r="K22" s="262"/>
      <c r="L22" s="265"/>
      <c r="M22" s="266"/>
      <c r="N22" s="264"/>
      <c r="O22" s="262"/>
      <c r="P22" s="267">
        <v>0</v>
      </c>
      <c r="Q22" s="265"/>
      <c r="R22" s="266"/>
      <c r="S22" s="264"/>
      <c r="T22" s="262"/>
      <c r="U22" s="268">
        <v>0</v>
      </c>
      <c r="V22" s="269">
        <v>0</v>
      </c>
      <c r="W22" s="268">
        <v>0</v>
      </c>
      <c r="X22" s="269">
        <v>0</v>
      </c>
      <c r="Y22" s="268">
        <v>0</v>
      </c>
      <c r="Z22" s="269">
        <v>0</v>
      </c>
      <c r="AA22" s="268">
        <v>0</v>
      </c>
      <c r="AB22" s="269">
        <v>0</v>
      </c>
      <c r="AC22" s="270">
        <v>8488.9359999999997</v>
      </c>
      <c r="AD22" s="271">
        <v>3063000</v>
      </c>
      <c r="AE22" s="270">
        <v>5846.1030000000001</v>
      </c>
      <c r="AF22" s="271">
        <v>2954000</v>
      </c>
      <c r="AG22" s="270">
        <v>2399.1799999999998</v>
      </c>
      <c r="AH22" s="271">
        <v>240000</v>
      </c>
      <c r="AI22" s="272">
        <f t="shared" si="9"/>
        <v>8488.9359999999997</v>
      </c>
      <c r="AJ22" s="272">
        <f t="shared" si="0"/>
        <v>8245.2829999999994</v>
      </c>
      <c r="AK22" s="273">
        <f t="shared" si="5"/>
        <v>0</v>
      </c>
      <c r="AL22" s="274">
        <f t="shared" si="5"/>
        <v>0</v>
      </c>
      <c r="AM22" s="275">
        <f t="shared" si="1"/>
        <v>6257000</v>
      </c>
      <c r="AN22" s="276">
        <f t="shared" si="6"/>
        <v>87615825.039999992</v>
      </c>
      <c r="AO22" s="277">
        <f t="shared" si="2"/>
        <v>6257000</v>
      </c>
      <c r="AP22" s="279">
        <v>121028027.81999999</v>
      </c>
      <c r="AQ22" s="278">
        <f t="shared" si="7"/>
        <v>81358825.039999992</v>
      </c>
      <c r="AR22" s="279">
        <f>IFERROR((VLOOKUP(B22,#REF!,24,FALSE)*1000),0)</f>
        <v>0</v>
      </c>
      <c r="AS22" s="280"/>
      <c r="AT22" s="334">
        <f t="shared" si="8"/>
        <v>81358825.039999992</v>
      </c>
      <c r="AU22" s="281">
        <f t="shared" si="3"/>
        <v>-33412202.780000001</v>
      </c>
    </row>
    <row r="23" spans="1:47" x14ac:dyDescent="0.25">
      <c r="A23" s="261">
        <v>20</v>
      </c>
      <c r="B23" s="5">
        <v>390160</v>
      </c>
      <c r="C23" s="67" t="s">
        <v>30</v>
      </c>
      <c r="D23" s="286">
        <v>65714642.059999995</v>
      </c>
      <c r="E23" s="263">
        <v>0</v>
      </c>
      <c r="F23" s="264">
        <f>VLOOKUP($B23,'АПП БАЗ (0)'!$B$8:$X$72,3,FALSE)</f>
        <v>35898</v>
      </c>
      <c r="G23" s="262"/>
      <c r="H23" s="264">
        <f>VLOOKUP($B23,'АПП БАЗ (0)'!$B$8:$X$72,10,FALSE)</f>
        <v>37593</v>
      </c>
      <c r="I23" s="262"/>
      <c r="J23" s="264">
        <f>VLOOKUP($B23,'АПП БАЗ (0)'!$B$8:$X$72,22,FALSE)</f>
        <v>10226</v>
      </c>
      <c r="K23" s="262"/>
      <c r="L23" s="265"/>
      <c r="M23" s="266"/>
      <c r="N23" s="264"/>
      <c r="O23" s="262"/>
      <c r="P23" s="267">
        <v>0</v>
      </c>
      <c r="Q23" s="265"/>
      <c r="R23" s="266"/>
      <c r="S23" s="264"/>
      <c r="T23" s="262"/>
      <c r="U23" s="268">
        <v>0</v>
      </c>
      <c r="V23" s="269">
        <v>0</v>
      </c>
      <c r="W23" s="268">
        <v>0</v>
      </c>
      <c r="X23" s="269">
        <v>0</v>
      </c>
      <c r="Y23" s="268">
        <v>0</v>
      </c>
      <c r="Z23" s="269">
        <v>0</v>
      </c>
      <c r="AA23" s="268">
        <v>0</v>
      </c>
      <c r="AB23" s="269">
        <v>0</v>
      </c>
      <c r="AC23" s="270">
        <v>2780.6980000000003</v>
      </c>
      <c r="AD23" s="271">
        <v>980000</v>
      </c>
      <c r="AE23" s="270">
        <v>1870.4480000000001</v>
      </c>
      <c r="AF23" s="271">
        <v>947000</v>
      </c>
      <c r="AG23" s="270">
        <v>769.13400000000001</v>
      </c>
      <c r="AH23" s="271">
        <v>139000</v>
      </c>
      <c r="AI23" s="272">
        <f t="shared" si="9"/>
        <v>2780.6980000000003</v>
      </c>
      <c r="AJ23" s="272">
        <f t="shared" si="0"/>
        <v>2639.5820000000003</v>
      </c>
      <c r="AK23" s="273">
        <f t="shared" si="5"/>
        <v>0</v>
      </c>
      <c r="AL23" s="274">
        <f t="shared" si="5"/>
        <v>0</v>
      </c>
      <c r="AM23" s="275">
        <f t="shared" si="1"/>
        <v>2066000</v>
      </c>
      <c r="AN23" s="276">
        <f t="shared" si="6"/>
        <v>67780642.060000002</v>
      </c>
      <c r="AO23" s="277">
        <f t="shared" si="2"/>
        <v>2066000</v>
      </c>
      <c r="AP23" s="279">
        <v>117951187.45000002</v>
      </c>
      <c r="AQ23" s="278">
        <f t="shared" si="7"/>
        <v>65714642.060000002</v>
      </c>
      <c r="AR23" s="279">
        <f>IFERROR((VLOOKUP(B23,#REF!,24,FALSE)*1000),0)</f>
        <v>0</v>
      </c>
      <c r="AS23" s="280"/>
      <c r="AT23" s="334">
        <f t="shared" si="8"/>
        <v>65714642.060000002</v>
      </c>
      <c r="AU23" s="281">
        <f t="shared" si="3"/>
        <v>-50170545.390000015</v>
      </c>
    </row>
    <row r="24" spans="1:47" x14ac:dyDescent="0.25">
      <c r="A24" s="261">
        <v>21</v>
      </c>
      <c r="B24" s="201">
        <v>390210</v>
      </c>
      <c r="C24" s="67" t="s">
        <v>31</v>
      </c>
      <c r="D24" s="286">
        <v>62597742.210000008</v>
      </c>
      <c r="E24" s="263">
        <v>15464233.92</v>
      </c>
      <c r="F24" s="264">
        <f>VLOOKUP($B24,'АПП БАЗ (0)'!$B$8:$X$72,3,FALSE)</f>
        <v>35898</v>
      </c>
      <c r="G24" s="262"/>
      <c r="H24" s="264">
        <f>VLOOKUP($B24,'АПП БАЗ (0)'!$B$8:$X$72,10,FALSE)</f>
        <v>37593</v>
      </c>
      <c r="I24" s="262"/>
      <c r="J24" s="264">
        <f>VLOOKUP($B24,'АПП БАЗ (0)'!$B$8:$X$72,22,FALSE)</f>
        <v>10235</v>
      </c>
      <c r="K24" s="262"/>
      <c r="L24" s="265"/>
      <c r="M24" s="266"/>
      <c r="N24" s="264"/>
      <c r="O24" s="262"/>
      <c r="P24" s="267">
        <v>0</v>
      </c>
      <c r="Q24" s="265"/>
      <c r="R24" s="266"/>
      <c r="S24" s="264"/>
      <c r="T24" s="262"/>
      <c r="U24" s="268">
        <v>0</v>
      </c>
      <c r="V24" s="269">
        <v>0</v>
      </c>
      <c r="W24" s="268">
        <v>0</v>
      </c>
      <c r="X24" s="269">
        <v>0</v>
      </c>
      <c r="Y24" s="268">
        <v>0</v>
      </c>
      <c r="Z24" s="269">
        <v>0</v>
      </c>
      <c r="AA24" s="268">
        <v>0</v>
      </c>
      <c r="AB24" s="269">
        <v>0</v>
      </c>
      <c r="AC24" s="270">
        <v>4951.8540000000003</v>
      </c>
      <c r="AD24" s="271">
        <v>2180000</v>
      </c>
      <c r="AE24" s="270">
        <v>4160.7920000000004</v>
      </c>
      <c r="AF24" s="271">
        <v>819000</v>
      </c>
      <c r="AG24" s="270">
        <v>665.17499999999995</v>
      </c>
      <c r="AH24" s="271">
        <v>124000</v>
      </c>
      <c r="AI24" s="272">
        <f t="shared" si="9"/>
        <v>4951.8540000000003</v>
      </c>
      <c r="AJ24" s="272">
        <f t="shared" si="0"/>
        <v>4825.9670000000006</v>
      </c>
      <c r="AK24" s="273">
        <f t="shared" si="5"/>
        <v>0</v>
      </c>
      <c r="AL24" s="274">
        <f t="shared" si="5"/>
        <v>0</v>
      </c>
      <c r="AM24" s="275">
        <f t="shared" si="1"/>
        <v>3123000</v>
      </c>
      <c r="AN24" s="276">
        <f t="shared" si="6"/>
        <v>81184976.13000001</v>
      </c>
      <c r="AO24" s="277">
        <f t="shared" si="2"/>
        <v>3123000</v>
      </c>
      <c r="AP24" s="279">
        <v>104862121.94</v>
      </c>
      <c r="AQ24" s="278">
        <f t="shared" si="7"/>
        <v>78061976.13000001</v>
      </c>
      <c r="AR24" s="279">
        <f>IFERROR((VLOOKUP(B24,#REF!,24,FALSE)*1000),0)</f>
        <v>0</v>
      </c>
      <c r="AS24" s="280"/>
      <c r="AT24" s="334">
        <f t="shared" si="8"/>
        <v>78061976.13000001</v>
      </c>
      <c r="AU24" s="281">
        <f t="shared" si="3"/>
        <v>-23677145.809999987</v>
      </c>
    </row>
    <row r="25" spans="1:47" x14ac:dyDescent="0.25">
      <c r="A25" s="256">
        <v>22</v>
      </c>
      <c r="B25" s="5">
        <v>390220</v>
      </c>
      <c r="C25" s="67" t="s">
        <v>181</v>
      </c>
      <c r="D25" s="286">
        <v>175424168.96000001</v>
      </c>
      <c r="E25" s="263">
        <v>27698768.879999999</v>
      </c>
      <c r="F25" s="264">
        <f>VLOOKUP($B25,'АПП БАЗ (0)'!$B$8:$X$72,3,FALSE)</f>
        <v>99079</v>
      </c>
      <c r="G25" s="262"/>
      <c r="H25" s="264">
        <f>VLOOKUP($B25,'АПП БАЗ (0)'!$B$8:$X$72,10,FALSE)</f>
        <v>103758</v>
      </c>
      <c r="I25" s="262"/>
      <c r="J25" s="264">
        <f>VLOOKUP($B25,'АПП БАЗ (0)'!$B$8:$X$72,22,FALSE)</f>
        <v>28158</v>
      </c>
      <c r="K25" s="262"/>
      <c r="L25" s="265"/>
      <c r="M25" s="266"/>
      <c r="N25" s="264"/>
      <c r="O25" s="262"/>
      <c r="P25" s="267">
        <v>0</v>
      </c>
      <c r="Q25" s="265"/>
      <c r="R25" s="266"/>
      <c r="S25" s="264"/>
      <c r="T25" s="262"/>
      <c r="U25" s="268">
        <v>0</v>
      </c>
      <c r="V25" s="269">
        <v>0</v>
      </c>
      <c r="W25" s="268">
        <v>0</v>
      </c>
      <c r="X25" s="269">
        <v>0</v>
      </c>
      <c r="Y25" s="268">
        <v>0</v>
      </c>
      <c r="Z25" s="269">
        <v>0</v>
      </c>
      <c r="AA25" s="268">
        <v>0</v>
      </c>
      <c r="AB25" s="269">
        <v>0</v>
      </c>
      <c r="AC25" s="270">
        <v>17346.356</v>
      </c>
      <c r="AD25" s="271">
        <v>6828000</v>
      </c>
      <c r="AE25" s="270">
        <v>13032.057000000001</v>
      </c>
      <c r="AF25" s="271">
        <v>4982000</v>
      </c>
      <c r="AG25" s="270">
        <v>4046.2809999999999</v>
      </c>
      <c r="AH25" s="271">
        <v>264000</v>
      </c>
      <c r="AI25" s="272">
        <f t="shared" si="9"/>
        <v>17346.356</v>
      </c>
      <c r="AJ25" s="272">
        <f t="shared" si="0"/>
        <v>17078.338</v>
      </c>
      <c r="AK25" s="273">
        <f t="shared" si="5"/>
        <v>0</v>
      </c>
      <c r="AL25" s="274">
        <f t="shared" si="5"/>
        <v>0</v>
      </c>
      <c r="AM25" s="275">
        <f t="shared" si="1"/>
        <v>12074000</v>
      </c>
      <c r="AN25" s="276">
        <f t="shared" si="6"/>
        <v>215196937.84</v>
      </c>
      <c r="AO25" s="277">
        <f t="shared" si="2"/>
        <v>12074000</v>
      </c>
      <c r="AP25" s="279">
        <v>308552542.06999999</v>
      </c>
      <c r="AQ25" s="278">
        <f t="shared" si="7"/>
        <v>203122937.84</v>
      </c>
      <c r="AR25" s="279">
        <f>IFERROR((VLOOKUP(B25,#REF!,24,FALSE)*1000),0)</f>
        <v>0</v>
      </c>
      <c r="AS25" s="280"/>
      <c r="AT25" s="334">
        <f t="shared" si="8"/>
        <v>203122937.84</v>
      </c>
      <c r="AU25" s="281">
        <f t="shared" si="3"/>
        <v>-93355604.229999989</v>
      </c>
    </row>
    <row r="26" spans="1:47" x14ac:dyDescent="0.25">
      <c r="A26" s="261">
        <v>23</v>
      </c>
      <c r="B26" s="5">
        <v>390230</v>
      </c>
      <c r="C26" s="67" t="s">
        <v>33</v>
      </c>
      <c r="D26" s="286">
        <v>75311369.38000001</v>
      </c>
      <c r="E26" s="263">
        <v>12820465.560000001</v>
      </c>
      <c r="F26" s="264">
        <f>VLOOKUP($B26,'АПП БАЗ (0)'!$B$8:$X$72,3,FALSE)</f>
        <v>41642</v>
      </c>
      <c r="G26" s="262"/>
      <c r="H26" s="264">
        <f>VLOOKUP($B26,'АПП БАЗ (0)'!$B$8:$X$72,10,FALSE)</f>
        <v>43608</v>
      </c>
      <c r="I26" s="262"/>
      <c r="J26" s="264">
        <f>VLOOKUP($B26,'АПП БАЗ (0)'!$B$8:$X$72,22,FALSE)</f>
        <v>11654</v>
      </c>
      <c r="K26" s="262"/>
      <c r="L26" s="265"/>
      <c r="M26" s="266"/>
      <c r="N26" s="264"/>
      <c r="O26" s="262"/>
      <c r="P26" s="267">
        <v>0</v>
      </c>
      <c r="Q26" s="265"/>
      <c r="R26" s="266"/>
      <c r="S26" s="264"/>
      <c r="T26" s="262"/>
      <c r="U26" s="268">
        <v>0</v>
      </c>
      <c r="V26" s="269">
        <v>0</v>
      </c>
      <c r="W26" s="268">
        <v>0</v>
      </c>
      <c r="X26" s="269">
        <v>0</v>
      </c>
      <c r="Y26" s="268">
        <v>0</v>
      </c>
      <c r="Z26" s="269">
        <v>0</v>
      </c>
      <c r="AA26" s="268">
        <v>0</v>
      </c>
      <c r="AB26" s="269">
        <v>0</v>
      </c>
      <c r="AC26" s="270">
        <v>9001.1779999999999</v>
      </c>
      <c r="AD26" s="271">
        <v>2815000</v>
      </c>
      <c r="AE26" s="270">
        <v>5372.7650000000003</v>
      </c>
      <c r="AF26" s="271">
        <v>4210000</v>
      </c>
      <c r="AG26" s="270">
        <v>3419.2779999999998</v>
      </c>
      <c r="AH26" s="271">
        <v>206000</v>
      </c>
      <c r="AI26" s="272">
        <f t="shared" si="9"/>
        <v>9001.1779999999999</v>
      </c>
      <c r="AJ26" s="272">
        <f t="shared" si="0"/>
        <v>8792.0429999999997</v>
      </c>
      <c r="AK26" s="273">
        <f t="shared" si="5"/>
        <v>0</v>
      </c>
      <c r="AL26" s="274">
        <f t="shared" si="5"/>
        <v>0</v>
      </c>
      <c r="AM26" s="275">
        <f t="shared" si="1"/>
        <v>7231000</v>
      </c>
      <c r="AN26" s="276">
        <f t="shared" si="6"/>
        <v>95362834.940000013</v>
      </c>
      <c r="AO26" s="277">
        <f t="shared" si="2"/>
        <v>7231000</v>
      </c>
      <c r="AP26" s="279">
        <v>138993112.78999999</v>
      </c>
      <c r="AQ26" s="278">
        <f t="shared" si="7"/>
        <v>88131834.940000013</v>
      </c>
      <c r="AR26" s="279">
        <f>IFERROR((VLOOKUP(B26,#REF!,24,FALSE)*1000),0)</f>
        <v>0</v>
      </c>
      <c r="AS26" s="280"/>
      <c r="AT26" s="334">
        <f t="shared" si="8"/>
        <v>88131834.940000013</v>
      </c>
      <c r="AU26" s="281">
        <f t="shared" si="3"/>
        <v>-43630277.849999979</v>
      </c>
    </row>
    <row r="27" spans="1:47" x14ac:dyDescent="0.25">
      <c r="A27" s="261">
        <v>24</v>
      </c>
      <c r="B27" s="5">
        <v>390240</v>
      </c>
      <c r="C27" s="67" t="s">
        <v>34</v>
      </c>
      <c r="D27" s="286">
        <v>84911195.159999996</v>
      </c>
      <c r="E27" s="263">
        <v>22032443.039999999</v>
      </c>
      <c r="F27" s="264">
        <f>VLOOKUP($B27,'АПП БАЗ (0)'!$B$8:$X$72,3,FALSE)</f>
        <v>45950</v>
      </c>
      <c r="G27" s="262"/>
      <c r="H27" s="264">
        <f>VLOOKUP($B27,'АПП БАЗ (0)'!$B$8:$X$72,10,FALSE)</f>
        <v>48120</v>
      </c>
      <c r="I27" s="262"/>
      <c r="J27" s="264">
        <f>VLOOKUP($B27,'АПП БАЗ (0)'!$B$8:$X$72,22,FALSE)</f>
        <v>12909</v>
      </c>
      <c r="K27" s="262"/>
      <c r="L27" s="265"/>
      <c r="M27" s="266"/>
      <c r="N27" s="264"/>
      <c r="O27" s="262"/>
      <c r="P27" s="267">
        <v>0</v>
      </c>
      <c r="Q27" s="265"/>
      <c r="R27" s="266"/>
      <c r="S27" s="264"/>
      <c r="T27" s="262"/>
      <c r="U27" s="268">
        <v>0</v>
      </c>
      <c r="V27" s="269">
        <v>0</v>
      </c>
      <c r="W27" s="268">
        <v>0</v>
      </c>
      <c r="X27" s="269">
        <v>0</v>
      </c>
      <c r="Y27" s="268">
        <v>0</v>
      </c>
      <c r="Z27" s="269">
        <v>0</v>
      </c>
      <c r="AA27" s="268">
        <v>0</v>
      </c>
      <c r="AB27" s="269">
        <v>0</v>
      </c>
      <c r="AC27" s="270">
        <v>6431.2400000000007</v>
      </c>
      <c r="AD27" s="271">
        <v>2395000</v>
      </c>
      <c r="AE27" s="270">
        <v>4571.1450000000004</v>
      </c>
      <c r="AF27" s="271">
        <v>2149000</v>
      </c>
      <c r="AG27" s="270">
        <v>1745.375</v>
      </c>
      <c r="AH27" s="271">
        <v>113000</v>
      </c>
      <c r="AI27" s="272">
        <f t="shared" si="9"/>
        <v>6431.2400000000007</v>
      </c>
      <c r="AJ27" s="272">
        <f t="shared" si="0"/>
        <v>6316.52</v>
      </c>
      <c r="AK27" s="273">
        <f t="shared" si="5"/>
        <v>0</v>
      </c>
      <c r="AL27" s="274">
        <f t="shared" si="5"/>
        <v>0</v>
      </c>
      <c r="AM27" s="275">
        <f t="shared" si="1"/>
        <v>4657000</v>
      </c>
      <c r="AN27" s="276">
        <f t="shared" si="6"/>
        <v>111600638.19999999</v>
      </c>
      <c r="AO27" s="277">
        <f t="shared" si="2"/>
        <v>4657000</v>
      </c>
      <c r="AP27" s="279">
        <v>155339614.17999998</v>
      </c>
      <c r="AQ27" s="278">
        <f t="shared" si="7"/>
        <v>106943638.19999999</v>
      </c>
      <c r="AR27" s="279">
        <f>IFERROR((VLOOKUP(B27,#REF!,24,FALSE)*1000),0)</f>
        <v>0</v>
      </c>
      <c r="AS27" s="280"/>
      <c r="AT27" s="334">
        <f t="shared" si="8"/>
        <v>106943638.19999999</v>
      </c>
      <c r="AU27" s="281">
        <f t="shared" si="3"/>
        <v>-43738975.979999989</v>
      </c>
    </row>
    <row r="28" spans="1:47" x14ac:dyDescent="0.25">
      <c r="A28" s="256">
        <v>25</v>
      </c>
      <c r="B28" s="5">
        <v>390290</v>
      </c>
      <c r="C28" s="67" t="s">
        <v>35</v>
      </c>
      <c r="D28" s="286">
        <v>25418078.770000003</v>
      </c>
      <c r="E28" s="263">
        <v>10100958.6</v>
      </c>
      <c r="F28" s="264">
        <f>VLOOKUP($B28,'АПП БАЗ (0)'!$B$8:$X$72,3,FALSE)</f>
        <v>12923</v>
      </c>
      <c r="G28" s="262"/>
      <c r="H28" s="264">
        <f>VLOOKUP($B28,'АПП БАЗ (0)'!$B$8:$X$72,10,FALSE)</f>
        <v>13534</v>
      </c>
      <c r="I28" s="262"/>
      <c r="J28" s="264">
        <f>VLOOKUP($B28,'АПП БАЗ (0)'!$B$8:$X$72,22,FALSE)</f>
        <v>3794</v>
      </c>
      <c r="K28" s="262"/>
      <c r="L28" s="265"/>
      <c r="M28" s="266"/>
      <c r="N28" s="264"/>
      <c r="O28" s="262"/>
      <c r="P28" s="267">
        <v>0</v>
      </c>
      <c r="Q28" s="265"/>
      <c r="R28" s="266"/>
      <c r="S28" s="264"/>
      <c r="T28" s="262"/>
      <c r="U28" s="268">
        <v>0</v>
      </c>
      <c r="V28" s="269">
        <v>0</v>
      </c>
      <c r="W28" s="268">
        <v>0</v>
      </c>
      <c r="X28" s="269">
        <v>0</v>
      </c>
      <c r="Y28" s="268">
        <v>0</v>
      </c>
      <c r="Z28" s="269">
        <v>0</v>
      </c>
      <c r="AA28" s="268">
        <v>0</v>
      </c>
      <c r="AB28" s="269">
        <v>0</v>
      </c>
      <c r="AC28" s="270">
        <v>1942.9359999999999</v>
      </c>
      <c r="AD28" s="271">
        <v>775000</v>
      </c>
      <c r="AE28" s="270">
        <v>1479.181</v>
      </c>
      <c r="AF28" s="271">
        <v>521000</v>
      </c>
      <c r="AG28" s="270">
        <v>423.14600000000002</v>
      </c>
      <c r="AH28" s="271">
        <v>40000</v>
      </c>
      <c r="AI28" s="272">
        <f t="shared" si="9"/>
        <v>1942.9359999999999</v>
      </c>
      <c r="AJ28" s="272">
        <f t="shared" si="0"/>
        <v>1902.327</v>
      </c>
      <c r="AK28" s="273">
        <f t="shared" si="5"/>
        <v>0</v>
      </c>
      <c r="AL28" s="274">
        <f t="shared" si="5"/>
        <v>0</v>
      </c>
      <c r="AM28" s="275">
        <f t="shared" si="1"/>
        <v>1336000</v>
      </c>
      <c r="AN28" s="276">
        <f t="shared" si="6"/>
        <v>36855037.370000005</v>
      </c>
      <c r="AO28" s="277">
        <f t="shared" si="2"/>
        <v>1336000</v>
      </c>
      <c r="AP28" s="279">
        <v>51562409.199999996</v>
      </c>
      <c r="AQ28" s="278">
        <f t="shared" si="7"/>
        <v>35519037.370000005</v>
      </c>
      <c r="AR28" s="279">
        <f>IFERROR((VLOOKUP(B28,#REF!,24,FALSE)*1000),0)</f>
        <v>0</v>
      </c>
      <c r="AS28" s="280"/>
      <c r="AT28" s="334">
        <f t="shared" si="8"/>
        <v>35519037.370000005</v>
      </c>
      <c r="AU28" s="281">
        <f t="shared" si="3"/>
        <v>-14707371.829999991</v>
      </c>
    </row>
    <row r="29" spans="1:47" x14ac:dyDescent="0.25">
      <c r="A29" s="261">
        <v>26</v>
      </c>
      <c r="B29" s="5">
        <v>390380</v>
      </c>
      <c r="C29" s="67" t="s">
        <v>36</v>
      </c>
      <c r="D29" s="286">
        <v>14709553.01</v>
      </c>
      <c r="E29" s="263">
        <v>0</v>
      </c>
      <c r="F29" s="264">
        <f>VLOOKUP($B29,'АПП БАЗ (0)'!$B$8:$X$72,3,FALSE)</f>
        <v>8616</v>
      </c>
      <c r="G29" s="262"/>
      <c r="H29" s="264">
        <f>VLOOKUP($B29,'АПП БАЗ (0)'!$B$8:$X$72,10,FALSE)</f>
        <v>9021</v>
      </c>
      <c r="I29" s="262"/>
      <c r="J29" s="264">
        <f>VLOOKUP($B29,'АПП БАЗ (0)'!$B$8:$X$72,22,FALSE)</f>
        <v>2396</v>
      </c>
      <c r="K29" s="262"/>
      <c r="L29" s="265"/>
      <c r="M29" s="266"/>
      <c r="N29" s="264"/>
      <c r="O29" s="262"/>
      <c r="P29" s="267">
        <v>0</v>
      </c>
      <c r="Q29" s="265"/>
      <c r="R29" s="266"/>
      <c r="S29" s="264"/>
      <c r="T29" s="262"/>
      <c r="U29" s="268">
        <v>0</v>
      </c>
      <c r="V29" s="269">
        <v>0</v>
      </c>
      <c r="W29" s="268">
        <v>0</v>
      </c>
      <c r="X29" s="269">
        <v>0</v>
      </c>
      <c r="Y29" s="268">
        <v>0</v>
      </c>
      <c r="Z29" s="269">
        <v>0</v>
      </c>
      <c r="AA29" s="268">
        <v>0</v>
      </c>
      <c r="AB29" s="269">
        <v>0</v>
      </c>
      <c r="AC29" s="270">
        <v>773.88499999999999</v>
      </c>
      <c r="AD29" s="271">
        <v>301000</v>
      </c>
      <c r="AE29" s="270">
        <v>574.495</v>
      </c>
      <c r="AF29" s="271">
        <v>223000</v>
      </c>
      <c r="AG29" s="270">
        <v>181.11600000000001</v>
      </c>
      <c r="AH29" s="271">
        <v>18000</v>
      </c>
      <c r="AI29" s="272">
        <f t="shared" si="9"/>
        <v>773.88499999999999</v>
      </c>
      <c r="AJ29" s="272">
        <f t="shared" si="0"/>
        <v>755.61099999999999</v>
      </c>
      <c r="AK29" s="273">
        <f t="shared" si="5"/>
        <v>0</v>
      </c>
      <c r="AL29" s="274">
        <f t="shared" si="5"/>
        <v>0</v>
      </c>
      <c r="AM29" s="275">
        <f t="shared" si="1"/>
        <v>542000</v>
      </c>
      <c r="AN29" s="276">
        <f t="shared" si="6"/>
        <v>15251553.01</v>
      </c>
      <c r="AO29" s="277">
        <f t="shared" si="2"/>
        <v>542000</v>
      </c>
      <c r="AP29" s="279">
        <v>23669267.229999997</v>
      </c>
      <c r="AQ29" s="278">
        <f t="shared" si="7"/>
        <v>14709553.01</v>
      </c>
      <c r="AR29" s="279">
        <f>IFERROR((VLOOKUP(B29,#REF!,24,FALSE)*1000),0)</f>
        <v>0</v>
      </c>
      <c r="AS29" s="280"/>
      <c r="AT29" s="334">
        <f t="shared" si="8"/>
        <v>14709553.01</v>
      </c>
      <c r="AU29" s="281">
        <f t="shared" si="3"/>
        <v>-8417714.2199999969</v>
      </c>
    </row>
    <row r="30" spans="1:47" x14ac:dyDescent="0.25">
      <c r="A30" s="261">
        <v>27</v>
      </c>
      <c r="B30" s="5">
        <v>390370</v>
      </c>
      <c r="C30" s="67" t="s">
        <v>37</v>
      </c>
      <c r="D30" s="286">
        <v>26190470.600000001</v>
      </c>
      <c r="E30" s="263">
        <v>0</v>
      </c>
      <c r="F30" s="264">
        <f>VLOOKUP($B30,'АПП БАЗ (0)'!$B$8:$X$72,3,FALSE)</f>
        <v>14359</v>
      </c>
      <c r="G30" s="262"/>
      <c r="H30" s="264">
        <f>VLOOKUP($B30,'АПП БАЗ (0)'!$B$8:$X$72,10,FALSE)</f>
        <v>15037</v>
      </c>
      <c r="I30" s="262"/>
      <c r="J30" s="264">
        <f>VLOOKUP($B30,'АПП БАЗ (0)'!$B$8:$X$72,22,FALSE)</f>
        <v>4064</v>
      </c>
      <c r="K30" s="262"/>
      <c r="L30" s="265"/>
      <c r="M30" s="266"/>
      <c r="N30" s="264"/>
      <c r="O30" s="262"/>
      <c r="P30" s="267">
        <v>0</v>
      </c>
      <c r="Q30" s="265"/>
      <c r="R30" s="266"/>
      <c r="S30" s="264"/>
      <c r="T30" s="262"/>
      <c r="U30" s="268">
        <v>0</v>
      </c>
      <c r="V30" s="269">
        <v>0</v>
      </c>
      <c r="W30" s="268">
        <v>0</v>
      </c>
      <c r="X30" s="269">
        <v>0</v>
      </c>
      <c r="Y30" s="268">
        <v>0</v>
      </c>
      <c r="Z30" s="269">
        <v>0</v>
      </c>
      <c r="AA30" s="268">
        <v>0</v>
      </c>
      <c r="AB30" s="269">
        <v>0</v>
      </c>
      <c r="AC30" s="270">
        <v>1867.3219999999999</v>
      </c>
      <c r="AD30" s="271">
        <v>619000</v>
      </c>
      <c r="AE30" s="270">
        <v>1181.4359999999999</v>
      </c>
      <c r="AF30" s="271">
        <v>767000</v>
      </c>
      <c r="AG30" s="270">
        <v>622.94200000000001</v>
      </c>
      <c r="AH30" s="271">
        <v>62000</v>
      </c>
      <c r="AI30" s="272">
        <f t="shared" si="9"/>
        <v>1867.3219999999999</v>
      </c>
      <c r="AJ30" s="272">
        <f t="shared" si="0"/>
        <v>1804.3779999999999</v>
      </c>
      <c r="AK30" s="273">
        <f t="shared" si="5"/>
        <v>0</v>
      </c>
      <c r="AL30" s="274">
        <f t="shared" si="5"/>
        <v>0</v>
      </c>
      <c r="AM30" s="275">
        <f t="shared" si="1"/>
        <v>1448000</v>
      </c>
      <c r="AN30" s="276">
        <f t="shared" si="6"/>
        <v>27638470.600000001</v>
      </c>
      <c r="AO30" s="277">
        <f t="shared" si="2"/>
        <v>1448000</v>
      </c>
      <c r="AP30" s="279">
        <v>42198346.890000001</v>
      </c>
      <c r="AQ30" s="278">
        <f t="shared" si="7"/>
        <v>26190470.600000001</v>
      </c>
      <c r="AR30" s="279">
        <f>IFERROR((VLOOKUP(B30,#REF!,24,FALSE)*1000),0)</f>
        <v>0</v>
      </c>
      <c r="AS30" s="280"/>
      <c r="AT30" s="334">
        <f t="shared" si="8"/>
        <v>26190470.600000001</v>
      </c>
      <c r="AU30" s="281">
        <f t="shared" si="3"/>
        <v>-14559876.289999999</v>
      </c>
    </row>
    <row r="31" spans="1:47" x14ac:dyDescent="0.25">
      <c r="A31" s="256">
        <v>28</v>
      </c>
      <c r="B31" s="5">
        <v>390480</v>
      </c>
      <c r="C31" s="67" t="s">
        <v>96</v>
      </c>
      <c r="D31" s="286">
        <v>93529613.50999999</v>
      </c>
      <c r="E31" s="263">
        <v>997582.08</v>
      </c>
      <c r="F31" s="264">
        <f>VLOOKUP($B31,'АПП БАЗ (0)'!$B$8:$X$72,3,FALSE)</f>
        <v>50258</v>
      </c>
      <c r="G31" s="262"/>
      <c r="H31" s="264">
        <f>VLOOKUP($B31,'АПП БАЗ (0)'!$B$8:$X$72,10,FALSE)</f>
        <v>52631</v>
      </c>
      <c r="I31" s="262"/>
      <c r="J31" s="264">
        <f>VLOOKUP($B31,'АПП БАЗ (0)'!$B$8:$X$72,22,FALSE)</f>
        <v>14452</v>
      </c>
      <c r="K31" s="262"/>
      <c r="L31" s="265"/>
      <c r="M31" s="266"/>
      <c r="N31" s="264"/>
      <c r="O31" s="262"/>
      <c r="P31" s="267">
        <v>0</v>
      </c>
      <c r="Q31" s="265"/>
      <c r="R31" s="266"/>
      <c r="S31" s="264"/>
      <c r="T31" s="262"/>
      <c r="U31" s="268">
        <v>0</v>
      </c>
      <c r="V31" s="269">
        <v>0</v>
      </c>
      <c r="W31" s="268">
        <v>0</v>
      </c>
      <c r="X31" s="269">
        <v>0</v>
      </c>
      <c r="Y31" s="268">
        <v>0</v>
      </c>
      <c r="Z31" s="269">
        <v>0</v>
      </c>
      <c r="AA31" s="268">
        <v>0</v>
      </c>
      <c r="AB31" s="269">
        <v>0</v>
      </c>
      <c r="AC31" s="270">
        <v>11668.213</v>
      </c>
      <c r="AD31" s="271">
        <v>3698000</v>
      </c>
      <c r="AE31" s="270">
        <v>7058.0770000000002</v>
      </c>
      <c r="AF31" s="271">
        <v>5405000</v>
      </c>
      <c r="AG31" s="270">
        <v>4389.8329999999996</v>
      </c>
      <c r="AH31" s="271">
        <v>217000</v>
      </c>
      <c r="AI31" s="272">
        <f t="shared" si="9"/>
        <v>11668.213</v>
      </c>
      <c r="AJ31" s="272">
        <f t="shared" si="0"/>
        <v>11447.91</v>
      </c>
      <c r="AK31" s="273">
        <f t="shared" si="5"/>
        <v>0</v>
      </c>
      <c r="AL31" s="274">
        <f t="shared" si="5"/>
        <v>0</v>
      </c>
      <c r="AM31" s="275">
        <f t="shared" si="1"/>
        <v>9320000</v>
      </c>
      <c r="AN31" s="276">
        <f t="shared" si="6"/>
        <v>103847195.58999999</v>
      </c>
      <c r="AO31" s="277">
        <f t="shared" si="2"/>
        <v>9320000</v>
      </c>
      <c r="AP31" s="279">
        <v>160628518.43000001</v>
      </c>
      <c r="AQ31" s="278">
        <f t="shared" si="7"/>
        <v>94527195.589999989</v>
      </c>
      <c r="AR31" s="279">
        <f>IFERROR((VLOOKUP(B31,#REF!,24,FALSE)*1000),0)</f>
        <v>0</v>
      </c>
      <c r="AS31" s="280"/>
      <c r="AT31" s="334">
        <f t="shared" si="8"/>
        <v>94527195.589999989</v>
      </c>
      <c r="AU31" s="281">
        <f t="shared" si="3"/>
        <v>-56781322.840000018</v>
      </c>
    </row>
    <row r="32" spans="1:47" x14ac:dyDescent="0.25">
      <c r="A32" s="261">
        <v>29</v>
      </c>
      <c r="B32" s="5">
        <v>390260</v>
      </c>
      <c r="C32" s="67" t="s">
        <v>38</v>
      </c>
      <c r="D32" s="286">
        <v>44393922.689999998</v>
      </c>
      <c r="E32" s="263">
        <v>11497725.24</v>
      </c>
      <c r="F32" s="264">
        <f>VLOOKUP($B32,'АПП БАЗ (0)'!$B$8:$X$72,3,FALSE)</f>
        <v>22975</v>
      </c>
      <c r="G32" s="262"/>
      <c r="H32" s="264">
        <f>VLOOKUP($B32,'АПП БАЗ (0)'!$B$8:$X$72,10,FALSE)</f>
        <v>24060</v>
      </c>
      <c r="I32" s="262"/>
      <c r="J32" s="264">
        <f>VLOOKUP($B32,'АПП БАЗ (0)'!$B$8:$X$72,22,FALSE)</f>
        <v>6453</v>
      </c>
      <c r="K32" s="262"/>
      <c r="L32" s="265"/>
      <c r="M32" s="266"/>
      <c r="N32" s="264"/>
      <c r="O32" s="262"/>
      <c r="P32" s="267">
        <v>0</v>
      </c>
      <c r="Q32" s="265"/>
      <c r="R32" s="266"/>
      <c r="S32" s="264"/>
      <c r="T32" s="262"/>
      <c r="U32" s="268">
        <v>0</v>
      </c>
      <c r="V32" s="269">
        <v>0</v>
      </c>
      <c r="W32" s="268">
        <v>0</v>
      </c>
      <c r="X32" s="269">
        <v>0</v>
      </c>
      <c r="Y32" s="268">
        <v>0</v>
      </c>
      <c r="Z32" s="269">
        <v>0</v>
      </c>
      <c r="AA32" s="268">
        <v>0</v>
      </c>
      <c r="AB32" s="269">
        <v>0</v>
      </c>
      <c r="AC32" s="270">
        <v>3951.7380000000003</v>
      </c>
      <c r="AD32" s="271">
        <v>1511000</v>
      </c>
      <c r="AE32" s="270">
        <v>2883.9250000000002</v>
      </c>
      <c r="AF32" s="271">
        <v>1171000</v>
      </c>
      <c r="AG32" s="270">
        <v>951.06299999999999</v>
      </c>
      <c r="AH32" s="271">
        <v>115000</v>
      </c>
      <c r="AI32" s="272">
        <f t="shared" si="9"/>
        <v>3951.7380000000003</v>
      </c>
      <c r="AJ32" s="272">
        <f t="shared" si="0"/>
        <v>3834.9880000000003</v>
      </c>
      <c r="AK32" s="273">
        <f t="shared" si="5"/>
        <v>0</v>
      </c>
      <c r="AL32" s="274">
        <f t="shared" si="5"/>
        <v>0</v>
      </c>
      <c r="AM32" s="275">
        <f t="shared" si="1"/>
        <v>2797000</v>
      </c>
      <c r="AN32" s="276">
        <f t="shared" si="6"/>
        <v>58688647.93</v>
      </c>
      <c r="AO32" s="277">
        <f t="shared" si="2"/>
        <v>2797000</v>
      </c>
      <c r="AP32" s="279">
        <v>80464735.480000004</v>
      </c>
      <c r="AQ32" s="278">
        <f t="shared" si="7"/>
        <v>55891647.93</v>
      </c>
      <c r="AR32" s="279">
        <f>IFERROR((VLOOKUP(B32,#REF!,24,FALSE)*1000),0)</f>
        <v>0</v>
      </c>
      <c r="AS32" s="280"/>
      <c r="AT32" s="334">
        <f t="shared" si="8"/>
        <v>55891647.93</v>
      </c>
      <c r="AU32" s="281">
        <f t="shared" si="3"/>
        <v>-21776087.550000004</v>
      </c>
    </row>
    <row r="33" spans="1:47" x14ac:dyDescent="0.25">
      <c r="A33" s="261">
        <v>30</v>
      </c>
      <c r="B33" s="5">
        <v>390250</v>
      </c>
      <c r="C33" s="67" t="s">
        <v>39</v>
      </c>
      <c r="D33" s="286">
        <v>32200183.890000001</v>
      </c>
      <c r="E33" s="263">
        <v>14565378.360000001</v>
      </c>
      <c r="F33" s="264">
        <f>VLOOKUP($B33,'АПП БАЗ (0)'!$B$8:$X$72,3,FALSE)</f>
        <v>17231</v>
      </c>
      <c r="G33" s="262"/>
      <c r="H33" s="264">
        <f>VLOOKUP($B33,'АПП БАЗ (0)'!$B$8:$X$72,10,FALSE)</f>
        <v>18045</v>
      </c>
      <c r="I33" s="262"/>
      <c r="J33" s="264">
        <f>VLOOKUP($B33,'АПП БАЗ (0)'!$B$8:$X$72,22,FALSE)</f>
        <v>4784</v>
      </c>
      <c r="K33" s="262"/>
      <c r="L33" s="265"/>
      <c r="M33" s="266"/>
      <c r="N33" s="264"/>
      <c r="O33" s="262"/>
      <c r="P33" s="267">
        <v>0</v>
      </c>
      <c r="Q33" s="265"/>
      <c r="R33" s="266"/>
      <c r="S33" s="264"/>
      <c r="T33" s="262"/>
      <c r="U33" s="268">
        <v>0</v>
      </c>
      <c r="V33" s="269">
        <v>0</v>
      </c>
      <c r="W33" s="268">
        <v>0</v>
      </c>
      <c r="X33" s="269">
        <v>0</v>
      </c>
      <c r="Y33" s="268">
        <v>0</v>
      </c>
      <c r="Z33" s="269">
        <v>0</v>
      </c>
      <c r="AA33" s="268">
        <v>0</v>
      </c>
      <c r="AB33" s="269">
        <v>0</v>
      </c>
      <c r="AC33" s="270">
        <v>1561.8210000000001</v>
      </c>
      <c r="AD33" s="271">
        <v>550000</v>
      </c>
      <c r="AE33" s="270">
        <v>1049.741</v>
      </c>
      <c r="AF33" s="271">
        <v>593000</v>
      </c>
      <c r="AG33" s="270">
        <v>481.62299999999999</v>
      </c>
      <c r="AH33" s="271">
        <v>30000</v>
      </c>
      <c r="AI33" s="272">
        <f t="shared" si="9"/>
        <v>1561.8210000000001</v>
      </c>
      <c r="AJ33" s="272">
        <f t="shared" si="0"/>
        <v>1531.364</v>
      </c>
      <c r="AK33" s="273">
        <f t="shared" si="5"/>
        <v>0</v>
      </c>
      <c r="AL33" s="274">
        <f t="shared" si="5"/>
        <v>0</v>
      </c>
      <c r="AM33" s="275">
        <f t="shared" si="1"/>
        <v>1173000</v>
      </c>
      <c r="AN33" s="276">
        <f t="shared" si="6"/>
        <v>47938562.25</v>
      </c>
      <c r="AO33" s="277">
        <f t="shared" si="2"/>
        <v>1173000</v>
      </c>
      <c r="AP33" s="279">
        <v>64396883.050000004</v>
      </c>
      <c r="AQ33" s="278">
        <f t="shared" si="7"/>
        <v>46765562.25</v>
      </c>
      <c r="AR33" s="279">
        <f>IFERROR((VLOOKUP(B33,#REF!,24,FALSE)*1000),0)</f>
        <v>0</v>
      </c>
      <c r="AS33" s="280"/>
      <c r="AT33" s="334">
        <f t="shared" si="8"/>
        <v>46765562.25</v>
      </c>
      <c r="AU33" s="281">
        <f t="shared" si="3"/>
        <v>-16458320.800000004</v>
      </c>
    </row>
    <row r="34" spans="1:47" x14ac:dyDescent="0.25">
      <c r="A34" s="256">
        <v>31</v>
      </c>
      <c r="B34" s="5">
        <v>390300</v>
      </c>
      <c r="C34" s="67" t="s">
        <v>40</v>
      </c>
      <c r="D34" s="286">
        <v>30632326.120000001</v>
      </c>
      <c r="E34" s="263">
        <v>14865029.52</v>
      </c>
      <c r="F34" s="264">
        <f>VLOOKUP($B34,'АПП БАЗ (0)'!$B$8:$X$72,3,FALSE)</f>
        <v>15795</v>
      </c>
      <c r="G34" s="262"/>
      <c r="H34" s="264">
        <f>VLOOKUP($B34,'АПП БАЗ (0)'!$B$8:$X$72,10,FALSE)</f>
        <v>16541</v>
      </c>
      <c r="I34" s="262"/>
      <c r="J34" s="264">
        <f>VLOOKUP($B34,'АПП БАЗ (0)'!$B$8:$X$72,22,FALSE)</f>
        <v>4438</v>
      </c>
      <c r="K34" s="262"/>
      <c r="L34" s="265"/>
      <c r="M34" s="266"/>
      <c r="N34" s="264"/>
      <c r="O34" s="262"/>
      <c r="P34" s="267">
        <v>0</v>
      </c>
      <c r="Q34" s="265"/>
      <c r="R34" s="266"/>
      <c r="S34" s="264"/>
      <c r="T34" s="262"/>
      <c r="U34" s="268">
        <v>0</v>
      </c>
      <c r="V34" s="269">
        <v>0</v>
      </c>
      <c r="W34" s="268">
        <v>0</v>
      </c>
      <c r="X34" s="269">
        <v>0</v>
      </c>
      <c r="Y34" s="268">
        <v>0</v>
      </c>
      <c r="Z34" s="269">
        <v>0</v>
      </c>
      <c r="AA34" s="268">
        <v>0</v>
      </c>
      <c r="AB34" s="269">
        <v>0</v>
      </c>
      <c r="AC34" s="270">
        <v>2149.837</v>
      </c>
      <c r="AD34" s="271">
        <v>855000</v>
      </c>
      <c r="AE34" s="270">
        <v>1631.87</v>
      </c>
      <c r="AF34" s="271">
        <v>579000</v>
      </c>
      <c r="AG34" s="270">
        <v>470.25200000000001</v>
      </c>
      <c r="AH34" s="271">
        <v>47000</v>
      </c>
      <c r="AI34" s="272">
        <f t="shared" si="9"/>
        <v>2149.837</v>
      </c>
      <c r="AJ34" s="272">
        <f t="shared" si="0"/>
        <v>2102.1219999999998</v>
      </c>
      <c r="AK34" s="273">
        <f t="shared" si="5"/>
        <v>0</v>
      </c>
      <c r="AL34" s="274">
        <f t="shared" si="5"/>
        <v>0</v>
      </c>
      <c r="AM34" s="275">
        <f t="shared" si="1"/>
        <v>1481000</v>
      </c>
      <c r="AN34" s="276">
        <f t="shared" si="6"/>
        <v>46978355.640000001</v>
      </c>
      <c r="AO34" s="277">
        <f t="shared" si="2"/>
        <v>1481000</v>
      </c>
      <c r="AP34" s="279">
        <v>63482169.81000001</v>
      </c>
      <c r="AQ34" s="278">
        <f t="shared" si="7"/>
        <v>45497355.640000001</v>
      </c>
      <c r="AR34" s="279">
        <f>IFERROR((VLOOKUP(B34,#REF!,24,FALSE)*1000),0)</f>
        <v>0</v>
      </c>
      <c r="AS34" s="280"/>
      <c r="AT34" s="334">
        <f t="shared" si="8"/>
        <v>45497355.640000001</v>
      </c>
      <c r="AU34" s="281">
        <f t="shared" si="3"/>
        <v>-16503814.170000009</v>
      </c>
    </row>
    <row r="35" spans="1:47" x14ac:dyDescent="0.25">
      <c r="A35" s="261">
        <v>32</v>
      </c>
      <c r="B35" s="5">
        <v>390310</v>
      </c>
      <c r="C35" s="67" t="s">
        <v>117</v>
      </c>
      <c r="D35" s="286">
        <v>42066620.609999992</v>
      </c>
      <c r="E35" s="263">
        <v>11507648.880000001</v>
      </c>
      <c r="F35" s="264">
        <f>VLOOKUP($B35,'АПП БАЗ (0)'!$B$8:$X$72,3,FALSE)</f>
        <v>22975</v>
      </c>
      <c r="G35" s="262"/>
      <c r="H35" s="264">
        <f>VLOOKUP($B35,'АПП БАЗ (0)'!$B$8:$X$72,10,FALSE)</f>
        <v>24060</v>
      </c>
      <c r="I35" s="262"/>
      <c r="J35" s="264">
        <f>VLOOKUP($B35,'АПП БАЗ (0)'!$B$8:$X$72,22,FALSE)</f>
        <v>6442</v>
      </c>
      <c r="K35" s="262"/>
      <c r="L35" s="265"/>
      <c r="M35" s="266"/>
      <c r="N35" s="264"/>
      <c r="O35" s="262"/>
      <c r="P35" s="267">
        <v>0</v>
      </c>
      <c r="Q35" s="265"/>
      <c r="R35" s="266"/>
      <c r="S35" s="264"/>
      <c r="T35" s="262"/>
      <c r="U35" s="268">
        <v>0</v>
      </c>
      <c r="V35" s="269">
        <v>0</v>
      </c>
      <c r="W35" s="268">
        <v>0</v>
      </c>
      <c r="X35" s="269">
        <v>0</v>
      </c>
      <c r="Y35" s="268">
        <v>0</v>
      </c>
      <c r="Z35" s="269">
        <v>0</v>
      </c>
      <c r="AA35" s="268">
        <v>0</v>
      </c>
      <c r="AB35" s="269">
        <v>0</v>
      </c>
      <c r="AC35" s="270">
        <v>4829.3380000000006</v>
      </c>
      <c r="AD35" s="271">
        <v>1919000</v>
      </c>
      <c r="AE35" s="270">
        <v>3662.6419999999998</v>
      </c>
      <c r="AF35" s="271">
        <v>1304000</v>
      </c>
      <c r="AG35" s="270">
        <v>1059.0830000000001</v>
      </c>
      <c r="AH35" s="271">
        <v>106000</v>
      </c>
      <c r="AI35" s="272">
        <f t="shared" si="9"/>
        <v>4829.3380000000006</v>
      </c>
      <c r="AJ35" s="272">
        <f t="shared" si="0"/>
        <v>4721.7250000000004</v>
      </c>
      <c r="AK35" s="273">
        <f t="shared" si="5"/>
        <v>0</v>
      </c>
      <c r="AL35" s="274">
        <f t="shared" si="5"/>
        <v>0</v>
      </c>
      <c r="AM35" s="275">
        <f t="shared" si="1"/>
        <v>3329000</v>
      </c>
      <c r="AN35" s="276">
        <f t="shared" si="6"/>
        <v>56903269.489999995</v>
      </c>
      <c r="AO35" s="277">
        <f t="shared" si="2"/>
        <v>3329000</v>
      </c>
      <c r="AP35" s="279">
        <v>79101578.819999993</v>
      </c>
      <c r="AQ35" s="278">
        <f t="shared" si="7"/>
        <v>53574269.489999995</v>
      </c>
      <c r="AR35" s="279">
        <f>IFERROR((VLOOKUP(B35,#REF!,24,FALSE)*1000),0)</f>
        <v>0</v>
      </c>
      <c r="AS35" s="280"/>
      <c r="AT35" s="334">
        <f t="shared" si="8"/>
        <v>53574269.489999995</v>
      </c>
      <c r="AU35" s="281">
        <f t="shared" si="3"/>
        <v>-22198309.329999998</v>
      </c>
    </row>
    <row r="36" spans="1:47" x14ac:dyDescent="0.25">
      <c r="A36" s="261">
        <v>33</v>
      </c>
      <c r="B36" s="5">
        <v>390320</v>
      </c>
      <c r="C36" s="67" t="s">
        <v>102</v>
      </c>
      <c r="D36" s="286">
        <v>41729592.820000008</v>
      </c>
      <c r="E36" s="263">
        <v>16037100.359999999</v>
      </c>
      <c r="F36" s="264">
        <f>VLOOKUP($B36,'АПП БАЗ (0)'!$B$8:$X$72,3,FALSE)</f>
        <v>22975</v>
      </c>
      <c r="G36" s="262"/>
      <c r="H36" s="264">
        <f>VLOOKUP($B36,'АПП БАЗ (0)'!$B$8:$X$72,10,FALSE)</f>
        <v>24060</v>
      </c>
      <c r="I36" s="262"/>
      <c r="J36" s="264">
        <f>VLOOKUP($B36,'АПП БАЗ (0)'!$B$8:$X$72,22,FALSE)</f>
        <v>6446</v>
      </c>
      <c r="K36" s="262"/>
      <c r="L36" s="265"/>
      <c r="M36" s="266"/>
      <c r="N36" s="264"/>
      <c r="O36" s="262"/>
      <c r="P36" s="267">
        <v>0</v>
      </c>
      <c r="Q36" s="265"/>
      <c r="R36" s="266"/>
      <c r="S36" s="264"/>
      <c r="T36" s="262"/>
      <c r="U36" s="268">
        <v>0</v>
      </c>
      <c r="V36" s="269">
        <v>0</v>
      </c>
      <c r="W36" s="268">
        <v>0</v>
      </c>
      <c r="X36" s="269">
        <v>0</v>
      </c>
      <c r="Y36" s="268">
        <v>0</v>
      </c>
      <c r="Z36" s="269">
        <v>0</v>
      </c>
      <c r="AA36" s="268">
        <v>0</v>
      </c>
      <c r="AB36" s="269">
        <v>0</v>
      </c>
      <c r="AC36" s="270">
        <v>3872.511</v>
      </c>
      <c r="AD36" s="271">
        <v>1098000</v>
      </c>
      <c r="AE36" s="270">
        <v>2095.665</v>
      </c>
      <c r="AF36" s="271">
        <v>2049000</v>
      </c>
      <c r="AG36" s="270">
        <v>1664.1569999999999</v>
      </c>
      <c r="AH36" s="271">
        <v>111000</v>
      </c>
      <c r="AI36" s="272">
        <f t="shared" si="9"/>
        <v>3872.511</v>
      </c>
      <c r="AJ36" s="272">
        <f t="shared" si="0"/>
        <v>3759.8220000000001</v>
      </c>
      <c r="AK36" s="273">
        <f t="shared" si="5"/>
        <v>0</v>
      </c>
      <c r="AL36" s="274">
        <f t="shared" si="5"/>
        <v>0</v>
      </c>
      <c r="AM36" s="275">
        <f t="shared" si="1"/>
        <v>3258000</v>
      </c>
      <c r="AN36" s="276">
        <f t="shared" si="6"/>
        <v>61024693.180000007</v>
      </c>
      <c r="AO36" s="277">
        <f t="shared" si="2"/>
        <v>3258000</v>
      </c>
      <c r="AP36" s="279">
        <v>83894089.899999991</v>
      </c>
      <c r="AQ36" s="278">
        <f t="shared" si="7"/>
        <v>57766693.180000007</v>
      </c>
      <c r="AR36" s="279">
        <f>IFERROR((VLOOKUP(B36,#REF!,24,FALSE)*1000),0)</f>
        <v>0</v>
      </c>
      <c r="AS36" s="280"/>
      <c r="AT36" s="334">
        <f t="shared" si="8"/>
        <v>57766693.180000007</v>
      </c>
      <c r="AU36" s="281">
        <f t="shared" si="3"/>
        <v>-22869396.719999984</v>
      </c>
    </row>
    <row r="37" spans="1:47" x14ac:dyDescent="0.25">
      <c r="A37" s="256">
        <v>34</v>
      </c>
      <c r="B37" s="5">
        <v>390180</v>
      </c>
      <c r="C37" s="67" t="s">
        <v>43</v>
      </c>
      <c r="D37" s="286">
        <v>66090423.190000005</v>
      </c>
      <c r="E37" s="263">
        <v>2403416.4</v>
      </c>
      <c r="F37" s="264">
        <f>VLOOKUP($B37,'АПП БАЗ (0)'!$B$8:$X$72,3,FALSE)</f>
        <v>38770</v>
      </c>
      <c r="G37" s="262"/>
      <c r="H37" s="264">
        <f>VLOOKUP($B37,'АПП БАЗ (0)'!$B$8:$X$72,10,FALSE)</f>
        <v>40601</v>
      </c>
      <c r="I37" s="262"/>
      <c r="J37" s="264">
        <f>VLOOKUP($B37,'АПП БАЗ (0)'!$B$8:$X$72,22,FALSE)</f>
        <v>11013</v>
      </c>
      <c r="K37" s="262"/>
      <c r="L37" s="265"/>
      <c r="M37" s="266"/>
      <c r="N37" s="264"/>
      <c r="O37" s="262"/>
      <c r="P37" s="267">
        <v>0</v>
      </c>
      <c r="Q37" s="265"/>
      <c r="R37" s="266"/>
      <c r="S37" s="264"/>
      <c r="T37" s="262"/>
      <c r="U37" s="268">
        <v>0</v>
      </c>
      <c r="V37" s="269">
        <v>0</v>
      </c>
      <c r="W37" s="268">
        <v>0</v>
      </c>
      <c r="X37" s="269">
        <v>0</v>
      </c>
      <c r="Y37" s="268">
        <v>0</v>
      </c>
      <c r="Z37" s="269">
        <v>0</v>
      </c>
      <c r="AA37" s="268">
        <v>0</v>
      </c>
      <c r="AB37" s="269">
        <v>0</v>
      </c>
      <c r="AC37" s="270">
        <v>12118.806</v>
      </c>
      <c r="AD37" s="271">
        <v>4726000</v>
      </c>
      <c r="AE37" s="270">
        <v>9020.1380000000008</v>
      </c>
      <c r="AF37" s="271">
        <v>3469000</v>
      </c>
      <c r="AG37" s="270">
        <v>2817.4520000000002</v>
      </c>
      <c r="AH37" s="271">
        <v>277000</v>
      </c>
      <c r="AI37" s="272">
        <f t="shared" si="9"/>
        <v>12118.806</v>
      </c>
      <c r="AJ37" s="272">
        <f t="shared" si="0"/>
        <v>11837.59</v>
      </c>
      <c r="AK37" s="273">
        <f t="shared" si="5"/>
        <v>0</v>
      </c>
      <c r="AL37" s="274">
        <f t="shared" si="5"/>
        <v>0</v>
      </c>
      <c r="AM37" s="275">
        <f t="shared" si="1"/>
        <v>8472000</v>
      </c>
      <c r="AN37" s="276">
        <f t="shared" si="6"/>
        <v>76965839.590000004</v>
      </c>
      <c r="AO37" s="277">
        <f t="shared" si="2"/>
        <v>8472000</v>
      </c>
      <c r="AP37" s="279">
        <v>120830301.06</v>
      </c>
      <c r="AQ37" s="278">
        <f t="shared" si="7"/>
        <v>68493839.590000004</v>
      </c>
      <c r="AR37" s="279">
        <f>IFERROR((VLOOKUP(B37,#REF!,24,FALSE)*1000),0)</f>
        <v>0</v>
      </c>
      <c r="AS37" s="280"/>
      <c r="AT37" s="334">
        <f t="shared" si="8"/>
        <v>68493839.590000004</v>
      </c>
      <c r="AU37" s="281">
        <f t="shared" si="3"/>
        <v>-43864461.469999999</v>
      </c>
    </row>
    <row r="38" spans="1:47" x14ac:dyDescent="0.25">
      <c r="A38" s="261">
        <v>35</v>
      </c>
      <c r="B38" s="5">
        <v>390270</v>
      </c>
      <c r="C38" s="67" t="s">
        <v>100</v>
      </c>
      <c r="D38" s="286">
        <v>41033325.230000004</v>
      </c>
      <c r="E38" s="263">
        <v>15864347.879999999</v>
      </c>
      <c r="F38" s="264">
        <f>VLOOKUP($B38,'АПП БАЗ (0)'!$B$8:$X$72,3,FALSE)</f>
        <v>21539</v>
      </c>
      <c r="G38" s="262"/>
      <c r="H38" s="264">
        <f>VLOOKUP($B38,'АПП БАЗ (0)'!$B$8:$X$72,10,FALSE)</f>
        <v>22556</v>
      </c>
      <c r="I38" s="262"/>
      <c r="J38" s="264">
        <f>VLOOKUP($B38,'АПП БАЗ (0)'!$B$8:$X$72,22,FALSE)</f>
        <v>6237</v>
      </c>
      <c r="K38" s="262"/>
      <c r="L38" s="265"/>
      <c r="M38" s="266"/>
      <c r="N38" s="264"/>
      <c r="O38" s="262"/>
      <c r="P38" s="267">
        <v>0</v>
      </c>
      <c r="Q38" s="265"/>
      <c r="R38" s="266"/>
      <c r="S38" s="264"/>
      <c r="T38" s="262"/>
      <c r="U38" s="268">
        <v>0</v>
      </c>
      <c r="V38" s="269">
        <v>0</v>
      </c>
      <c r="W38" s="268">
        <v>0</v>
      </c>
      <c r="X38" s="269">
        <v>0</v>
      </c>
      <c r="Y38" s="268">
        <v>0</v>
      </c>
      <c r="Z38" s="269">
        <v>0</v>
      </c>
      <c r="AA38" s="268">
        <v>0</v>
      </c>
      <c r="AB38" s="269">
        <v>0</v>
      </c>
      <c r="AC38" s="270">
        <v>4791.6120000000001</v>
      </c>
      <c r="AD38" s="271">
        <v>1797000</v>
      </c>
      <c r="AE38" s="270">
        <v>3429.79</v>
      </c>
      <c r="AF38" s="271">
        <v>1523000</v>
      </c>
      <c r="AG38" s="270">
        <v>1236.95</v>
      </c>
      <c r="AH38" s="271">
        <v>123000</v>
      </c>
      <c r="AI38" s="272">
        <f t="shared" si="9"/>
        <v>4791.6120000000001</v>
      </c>
      <c r="AJ38" s="272">
        <f t="shared" si="0"/>
        <v>4666.74</v>
      </c>
      <c r="AK38" s="273">
        <f t="shared" si="5"/>
        <v>0</v>
      </c>
      <c r="AL38" s="274">
        <f t="shared" si="5"/>
        <v>0</v>
      </c>
      <c r="AM38" s="275">
        <f t="shared" si="1"/>
        <v>3443000</v>
      </c>
      <c r="AN38" s="276">
        <f t="shared" si="6"/>
        <v>60340673.109999999</v>
      </c>
      <c r="AO38" s="277">
        <f t="shared" si="2"/>
        <v>3443000</v>
      </c>
      <c r="AP38" s="279">
        <v>84456279.670000002</v>
      </c>
      <c r="AQ38" s="278">
        <f t="shared" si="7"/>
        <v>56897673.109999999</v>
      </c>
      <c r="AR38" s="279">
        <f>IFERROR((VLOOKUP(B38,#REF!,24,FALSE)*1000),0)</f>
        <v>0</v>
      </c>
      <c r="AS38" s="280"/>
      <c r="AT38" s="334">
        <f t="shared" si="8"/>
        <v>56897673.109999999</v>
      </c>
      <c r="AU38" s="281">
        <f t="shared" si="3"/>
        <v>-24115606.560000002</v>
      </c>
    </row>
    <row r="39" spans="1:47" x14ac:dyDescent="0.25">
      <c r="A39" s="261">
        <v>36</v>
      </c>
      <c r="B39" s="5">
        <v>390190</v>
      </c>
      <c r="C39" s="67" t="s">
        <v>45</v>
      </c>
      <c r="D39" s="286">
        <v>87323191.609999999</v>
      </c>
      <c r="E39" s="263">
        <v>0</v>
      </c>
      <c r="F39" s="264">
        <f>VLOOKUP($B39,'АПП БАЗ (0)'!$B$8:$X$72,3,FALSE)</f>
        <v>47386</v>
      </c>
      <c r="G39" s="262"/>
      <c r="H39" s="264">
        <f>VLOOKUP($B39,'АПП БАЗ (0)'!$B$8:$X$72,10,FALSE)</f>
        <v>49623</v>
      </c>
      <c r="I39" s="262"/>
      <c r="J39" s="264">
        <f>VLOOKUP($B39,'АПП БАЗ (0)'!$B$8:$X$72,22,FALSE)</f>
        <v>13552</v>
      </c>
      <c r="K39" s="262"/>
      <c r="L39" s="265"/>
      <c r="M39" s="266"/>
      <c r="N39" s="264"/>
      <c r="O39" s="262"/>
      <c r="P39" s="267">
        <v>0</v>
      </c>
      <c r="Q39" s="265"/>
      <c r="R39" s="266"/>
      <c r="S39" s="264"/>
      <c r="T39" s="262"/>
      <c r="U39" s="268">
        <v>0</v>
      </c>
      <c r="V39" s="269">
        <v>0</v>
      </c>
      <c r="W39" s="268">
        <v>0</v>
      </c>
      <c r="X39" s="269">
        <v>0</v>
      </c>
      <c r="Y39" s="268">
        <v>0</v>
      </c>
      <c r="Z39" s="269">
        <v>0</v>
      </c>
      <c r="AA39" s="268">
        <v>0</v>
      </c>
      <c r="AB39" s="269">
        <v>0</v>
      </c>
      <c r="AC39" s="270">
        <v>0</v>
      </c>
      <c r="AD39" s="271">
        <v>0</v>
      </c>
      <c r="AE39" s="270">
        <v>0</v>
      </c>
      <c r="AF39" s="271">
        <v>0</v>
      </c>
      <c r="AG39" s="270">
        <v>0</v>
      </c>
      <c r="AH39" s="271">
        <v>0</v>
      </c>
      <c r="AI39" s="272">
        <f t="shared" si="9"/>
        <v>0</v>
      </c>
      <c r="AJ39" s="272">
        <f t="shared" si="0"/>
        <v>0</v>
      </c>
      <c r="AK39" s="273">
        <f t="shared" si="5"/>
        <v>0</v>
      </c>
      <c r="AL39" s="274">
        <f t="shared" si="5"/>
        <v>0</v>
      </c>
      <c r="AM39" s="275">
        <f t="shared" si="1"/>
        <v>0</v>
      </c>
      <c r="AN39" s="276">
        <f t="shared" si="6"/>
        <v>87323191.609999999</v>
      </c>
      <c r="AO39" s="277">
        <f t="shared" si="2"/>
        <v>0</v>
      </c>
      <c r="AP39" s="279">
        <v>146072145.54999998</v>
      </c>
      <c r="AQ39" s="278">
        <f t="shared" si="7"/>
        <v>87323191.609999999</v>
      </c>
      <c r="AR39" s="279">
        <f>IFERROR((VLOOKUP(B39,#REF!,24,FALSE)*1000),0)</f>
        <v>0</v>
      </c>
      <c r="AS39" s="280"/>
      <c r="AT39" s="334">
        <f t="shared" si="8"/>
        <v>87323191.609999999</v>
      </c>
      <c r="AU39" s="281">
        <f t="shared" si="3"/>
        <v>-58748953.939999983</v>
      </c>
    </row>
    <row r="40" spans="1:47" x14ac:dyDescent="0.25">
      <c r="A40" s="256">
        <v>37</v>
      </c>
      <c r="B40" s="5">
        <v>390280</v>
      </c>
      <c r="C40" s="67" t="s">
        <v>101</v>
      </c>
      <c r="D40" s="286">
        <v>104122342.97999999</v>
      </c>
      <c r="E40" s="263">
        <v>13419768.120000001</v>
      </c>
      <c r="F40" s="264">
        <f>VLOOKUP($B40,'АПП БАЗ (0)'!$B$8:$X$72,3,FALSE)</f>
        <v>56001</v>
      </c>
      <c r="G40" s="262"/>
      <c r="H40" s="264">
        <f>VLOOKUP($B40,'АПП БАЗ (0)'!$B$8:$X$72,10,FALSE)</f>
        <v>58646</v>
      </c>
      <c r="I40" s="262"/>
      <c r="J40" s="264">
        <f>VLOOKUP($B40,'АПП БАЗ (0)'!$B$8:$X$72,22,FALSE)</f>
        <v>16082</v>
      </c>
      <c r="K40" s="262"/>
      <c r="L40" s="265"/>
      <c r="M40" s="266"/>
      <c r="N40" s="264"/>
      <c r="O40" s="262"/>
      <c r="P40" s="267">
        <v>0</v>
      </c>
      <c r="Q40" s="265"/>
      <c r="R40" s="266"/>
      <c r="S40" s="264"/>
      <c r="T40" s="262"/>
      <c r="U40" s="268">
        <v>0</v>
      </c>
      <c r="V40" s="269">
        <v>0</v>
      </c>
      <c r="W40" s="268">
        <v>0</v>
      </c>
      <c r="X40" s="269">
        <v>0</v>
      </c>
      <c r="Y40" s="268">
        <v>0</v>
      </c>
      <c r="Z40" s="269">
        <v>0</v>
      </c>
      <c r="AA40" s="268">
        <v>0</v>
      </c>
      <c r="AB40" s="269">
        <v>0</v>
      </c>
      <c r="AC40" s="270">
        <v>0</v>
      </c>
      <c r="AD40" s="271">
        <v>0</v>
      </c>
      <c r="AE40" s="270">
        <v>0</v>
      </c>
      <c r="AF40" s="271">
        <v>0</v>
      </c>
      <c r="AG40" s="270">
        <v>0</v>
      </c>
      <c r="AH40" s="271">
        <v>0</v>
      </c>
      <c r="AI40" s="272">
        <f t="shared" si="9"/>
        <v>0</v>
      </c>
      <c r="AJ40" s="272">
        <f t="shared" si="0"/>
        <v>0</v>
      </c>
      <c r="AK40" s="273">
        <f t="shared" si="5"/>
        <v>0</v>
      </c>
      <c r="AL40" s="274">
        <f t="shared" si="5"/>
        <v>0</v>
      </c>
      <c r="AM40" s="275">
        <f t="shared" si="1"/>
        <v>0</v>
      </c>
      <c r="AN40" s="276">
        <f t="shared" si="6"/>
        <v>117542111.09999999</v>
      </c>
      <c r="AO40" s="277">
        <f t="shared" si="2"/>
        <v>0</v>
      </c>
      <c r="AP40" s="279">
        <v>176224203.06</v>
      </c>
      <c r="AQ40" s="278">
        <f t="shared" si="7"/>
        <v>117542111.09999999</v>
      </c>
      <c r="AR40" s="279">
        <f>IFERROR((VLOOKUP(B40,#REF!,24,FALSE)*1000),0)</f>
        <v>0</v>
      </c>
      <c r="AS40" s="280"/>
      <c r="AT40" s="334">
        <f t="shared" si="8"/>
        <v>117542111.09999999</v>
      </c>
      <c r="AU40" s="281">
        <f t="shared" si="3"/>
        <v>-58682091.960000008</v>
      </c>
    </row>
    <row r="41" spans="1:47" x14ac:dyDescent="0.25">
      <c r="A41" s="261">
        <v>38</v>
      </c>
      <c r="B41" s="5">
        <v>390600</v>
      </c>
      <c r="C41" s="67" t="s">
        <v>118</v>
      </c>
      <c r="D41" s="286">
        <v>33066157.949999999</v>
      </c>
      <c r="E41" s="263">
        <v>0</v>
      </c>
      <c r="F41" s="264">
        <f>VLOOKUP($B41,'АПП БАЗ (0)'!$B$8:$X$72,3,FALSE)</f>
        <v>18667</v>
      </c>
      <c r="G41" s="262"/>
      <c r="H41" s="264">
        <f>VLOOKUP($B41,'АПП БАЗ (0)'!$B$8:$X$72,10,FALSE)</f>
        <v>19549</v>
      </c>
      <c r="I41" s="262"/>
      <c r="J41" s="264">
        <f>VLOOKUP($B41,'АПП БАЗ (0)'!$B$8:$X$72,22,FALSE)</f>
        <v>5378</v>
      </c>
      <c r="K41" s="262"/>
      <c r="L41" s="265"/>
      <c r="M41" s="266"/>
      <c r="N41" s="264"/>
      <c r="O41" s="262"/>
      <c r="P41" s="267">
        <v>100000</v>
      </c>
      <c r="Q41" s="265"/>
      <c r="R41" s="266"/>
      <c r="S41" s="264"/>
      <c r="T41" s="262"/>
      <c r="U41" s="268">
        <v>0</v>
      </c>
      <c r="V41" s="269">
        <v>0</v>
      </c>
      <c r="W41" s="268">
        <v>0</v>
      </c>
      <c r="X41" s="269">
        <v>0</v>
      </c>
      <c r="Y41" s="268">
        <v>0</v>
      </c>
      <c r="Z41" s="269">
        <v>0</v>
      </c>
      <c r="AA41" s="268">
        <v>0</v>
      </c>
      <c r="AB41" s="269">
        <v>0</v>
      </c>
      <c r="AC41" s="270">
        <v>1062.3710000000001</v>
      </c>
      <c r="AD41" s="271">
        <v>423000</v>
      </c>
      <c r="AE41" s="270">
        <v>807.346</v>
      </c>
      <c r="AF41" s="271">
        <v>304000</v>
      </c>
      <c r="AG41" s="270">
        <v>246.90299999999999</v>
      </c>
      <c r="AH41" s="271">
        <v>8000</v>
      </c>
      <c r="AI41" s="272">
        <f t="shared" si="9"/>
        <v>1062.3710000000001</v>
      </c>
      <c r="AJ41" s="272">
        <f t="shared" si="0"/>
        <v>1054.249</v>
      </c>
      <c r="AK41" s="273">
        <f t="shared" si="5"/>
        <v>0</v>
      </c>
      <c r="AL41" s="274">
        <f t="shared" si="5"/>
        <v>0</v>
      </c>
      <c r="AM41" s="275">
        <f t="shared" si="1"/>
        <v>835000</v>
      </c>
      <c r="AN41" s="276">
        <f t="shared" si="6"/>
        <v>33901157.950000003</v>
      </c>
      <c r="AO41" s="277">
        <f t="shared" si="2"/>
        <v>735000</v>
      </c>
      <c r="AP41" s="279">
        <v>51340239.060000002</v>
      </c>
      <c r="AQ41" s="278">
        <f t="shared" si="7"/>
        <v>33166157.950000003</v>
      </c>
      <c r="AR41" s="279">
        <f>IFERROR((VLOOKUP(B41,#REF!,24,FALSE)*1000),0)</f>
        <v>0</v>
      </c>
      <c r="AS41" s="280"/>
      <c r="AT41" s="334">
        <f t="shared" si="8"/>
        <v>33166157.950000003</v>
      </c>
      <c r="AU41" s="281">
        <f t="shared" si="3"/>
        <v>-17439081.109999999</v>
      </c>
    </row>
    <row r="42" spans="1:47" x14ac:dyDescent="0.25">
      <c r="A42" s="261">
        <v>39</v>
      </c>
      <c r="B42" s="5">
        <v>390340</v>
      </c>
      <c r="C42" s="67" t="s">
        <v>119</v>
      </c>
      <c r="D42" s="286">
        <v>27150277.5</v>
      </c>
      <c r="E42" s="263">
        <v>0</v>
      </c>
      <c r="F42" s="264">
        <f>VLOOKUP($B42,'АПП БАЗ (0)'!$B$8:$X$72,3,FALSE)</f>
        <v>17231</v>
      </c>
      <c r="G42" s="262"/>
      <c r="H42" s="264">
        <f>VLOOKUP($B42,'АПП БАЗ (0)'!$B$8:$X$72,10,FALSE)</f>
        <v>18045</v>
      </c>
      <c r="I42" s="262"/>
      <c r="J42" s="264">
        <f>VLOOKUP($B42,'АПП БАЗ (0)'!$B$8:$X$72,22,FALSE)</f>
        <v>5056</v>
      </c>
      <c r="K42" s="262"/>
      <c r="L42" s="265"/>
      <c r="M42" s="266"/>
      <c r="N42" s="264"/>
      <c r="O42" s="262"/>
      <c r="P42" s="267">
        <v>0</v>
      </c>
      <c r="Q42" s="265"/>
      <c r="R42" s="266"/>
      <c r="S42" s="264"/>
      <c r="T42" s="262"/>
      <c r="U42" s="268">
        <v>0</v>
      </c>
      <c r="V42" s="269">
        <v>0</v>
      </c>
      <c r="W42" s="268">
        <v>0</v>
      </c>
      <c r="X42" s="269">
        <v>0</v>
      </c>
      <c r="Y42" s="268">
        <v>0</v>
      </c>
      <c r="Z42" s="269">
        <v>0</v>
      </c>
      <c r="AA42" s="268">
        <v>0</v>
      </c>
      <c r="AB42" s="269">
        <v>0</v>
      </c>
      <c r="AC42" s="270">
        <v>3189.3049999999998</v>
      </c>
      <c r="AD42" s="271">
        <v>1266000</v>
      </c>
      <c r="AE42" s="270">
        <v>2416.3130000000001</v>
      </c>
      <c r="AF42" s="271">
        <v>868000</v>
      </c>
      <c r="AG42" s="270">
        <v>704.97199999999998</v>
      </c>
      <c r="AH42" s="271">
        <v>67000</v>
      </c>
      <c r="AI42" s="272">
        <f t="shared" si="9"/>
        <v>3189.3049999999998</v>
      </c>
      <c r="AJ42" s="272">
        <f t="shared" si="0"/>
        <v>3121.2849999999999</v>
      </c>
      <c r="AK42" s="273">
        <f t="shared" si="5"/>
        <v>0</v>
      </c>
      <c r="AL42" s="274">
        <f t="shared" si="5"/>
        <v>0</v>
      </c>
      <c r="AM42" s="275">
        <f t="shared" si="1"/>
        <v>2201000</v>
      </c>
      <c r="AN42" s="276">
        <f t="shared" si="6"/>
        <v>29351277.5</v>
      </c>
      <c r="AO42" s="277">
        <f t="shared" si="2"/>
        <v>2201000</v>
      </c>
      <c r="AP42" s="279">
        <v>52539307.159999996</v>
      </c>
      <c r="AQ42" s="278">
        <f t="shared" si="7"/>
        <v>27150277.5</v>
      </c>
      <c r="AR42" s="279">
        <f>IFERROR((VLOOKUP(B42,#REF!,24,FALSE)*1000),0)</f>
        <v>0</v>
      </c>
      <c r="AS42" s="280"/>
      <c r="AT42" s="334">
        <f t="shared" si="8"/>
        <v>27150277.5</v>
      </c>
      <c r="AU42" s="281">
        <f t="shared" si="3"/>
        <v>-23188029.659999996</v>
      </c>
    </row>
    <row r="43" spans="1:47" ht="15" customHeight="1" x14ac:dyDescent="0.25">
      <c r="A43" s="261">
        <v>40</v>
      </c>
      <c r="B43" s="5">
        <v>391000</v>
      </c>
      <c r="C43" s="6" t="s">
        <v>182</v>
      </c>
      <c r="D43" s="262"/>
      <c r="E43" s="263"/>
      <c r="F43" s="264"/>
      <c r="G43" s="262"/>
      <c r="H43" s="264"/>
      <c r="I43" s="262"/>
      <c r="J43" s="264"/>
      <c r="K43" s="262"/>
      <c r="L43" s="265">
        <f>IFERROR((VLOOKUP($B43,'АПП БАЗ (0)'!$B$8:$X$72,3,FALSE)),0)</f>
        <v>0</v>
      </c>
      <c r="M43" s="266">
        <f>IFERROR((VLOOKUP($B43,'АПП БАЗ (0)'!$B$8:$X$72,4,FALSE)*1000),0)</f>
        <v>0</v>
      </c>
      <c r="N43" s="264"/>
      <c r="O43" s="262"/>
      <c r="P43" s="267">
        <v>0</v>
      </c>
      <c r="Q43" s="265">
        <f>IFERROR((VLOOKUP($B43,'АПП БАЗ (0)'!$B$8:$X$72,10,FALSE)),0)+IFERROR((VLOOKUP($B43,'АПП БАЗ (0)'!$B$8:$X$72,22,FALSE)),0)</f>
        <v>0</v>
      </c>
      <c r="R43" s="266">
        <f>IFERROR((VLOOKUP($B43,'АПП БАЗ (0)'!$B$8:$X$72,11,FALSE)),0)*1000+IFERROR((VLOOKUP($B43,'АПП БАЗ (0)'!$B$8:$X$72,23,FALSE)),0)*1000</f>
        <v>0</v>
      </c>
      <c r="S43" s="264"/>
      <c r="T43" s="262"/>
      <c r="U43" s="268">
        <v>0</v>
      </c>
      <c r="V43" s="269">
        <v>0</v>
      </c>
      <c r="W43" s="268">
        <v>0</v>
      </c>
      <c r="X43" s="269">
        <v>0</v>
      </c>
      <c r="Y43" s="268">
        <v>0</v>
      </c>
      <c r="Z43" s="269">
        <v>0</v>
      </c>
      <c r="AA43" s="268">
        <v>0</v>
      </c>
      <c r="AB43" s="269">
        <v>0</v>
      </c>
      <c r="AC43" s="270">
        <v>124618.829</v>
      </c>
      <c r="AD43" s="271">
        <v>49004000</v>
      </c>
      <c r="AE43" s="270">
        <v>93530.013999999996</v>
      </c>
      <c r="AF43" s="271">
        <v>34682000</v>
      </c>
      <c r="AG43" s="270">
        <v>28168.026999999998</v>
      </c>
      <c r="AH43" s="271">
        <v>2877000</v>
      </c>
      <c r="AI43" s="272">
        <f t="shared" si="9"/>
        <v>124618.829</v>
      </c>
      <c r="AJ43" s="272">
        <f t="shared" si="0"/>
        <v>121698.041</v>
      </c>
      <c r="AK43" s="273">
        <f t="shared" si="5"/>
        <v>0</v>
      </c>
      <c r="AL43" s="274">
        <f t="shared" si="5"/>
        <v>0</v>
      </c>
      <c r="AM43" s="275">
        <f t="shared" si="1"/>
        <v>86563000</v>
      </c>
      <c r="AN43" s="276">
        <f t="shared" si="6"/>
        <v>86563000</v>
      </c>
      <c r="AO43" s="277">
        <f t="shared" si="2"/>
        <v>86563000</v>
      </c>
      <c r="AP43" s="279">
        <v>118382200.37</v>
      </c>
      <c r="AQ43" s="278">
        <f t="shared" si="7"/>
        <v>0</v>
      </c>
      <c r="AR43" s="279">
        <f>IFERROR((VLOOKUP(B43,#REF!,24,FALSE)*1000),0)</f>
        <v>0</v>
      </c>
      <c r="AS43" s="280"/>
      <c r="AT43" s="334">
        <f t="shared" si="8"/>
        <v>0</v>
      </c>
      <c r="AU43" s="281">
        <f t="shared" si="3"/>
        <v>-31819200.370000005</v>
      </c>
    </row>
    <row r="44" spans="1:47" ht="15" customHeight="1" x14ac:dyDescent="0.25">
      <c r="A44" s="261">
        <v>41</v>
      </c>
      <c r="B44" s="5">
        <v>390910</v>
      </c>
      <c r="C44" s="6" t="s">
        <v>145</v>
      </c>
      <c r="D44" s="262"/>
      <c r="E44" s="263"/>
      <c r="F44" s="264"/>
      <c r="G44" s="262"/>
      <c r="H44" s="264"/>
      <c r="I44" s="262"/>
      <c r="J44" s="264"/>
      <c r="K44" s="262"/>
      <c r="L44" s="265">
        <f>IFERROR((VLOOKUP($B44,'АПП БАЗ (0)'!$B$8:$X$72,3,FALSE)),0)</f>
        <v>0</v>
      </c>
      <c r="M44" s="266">
        <f>IFERROR((VLOOKUP($B44,'АПП БАЗ (0)'!$B$8:$X$72,4,FALSE)*1000),0)</f>
        <v>0</v>
      </c>
      <c r="N44" s="264"/>
      <c r="O44" s="262"/>
      <c r="P44" s="267">
        <v>0</v>
      </c>
      <c r="Q44" s="265">
        <f>IFERROR((VLOOKUP($B44,'АПП БАЗ (0)'!$B$8:$X$72,10,FALSE)),0)+IFERROR((VLOOKUP($B44,'АПП БАЗ (0)'!$B$8:$X$72,22,FALSE)),0)</f>
        <v>0</v>
      </c>
      <c r="R44" s="266">
        <f>IFERROR((VLOOKUP($B44,'АПП БАЗ (0)'!$B$8:$X$72,11,FALSE)),0)*1000+IFERROR((VLOOKUP($B44,'АПП БАЗ (0)'!$B$8:$X$72,23,FALSE)),0)*1000</f>
        <v>0</v>
      </c>
      <c r="S44" s="264"/>
      <c r="T44" s="262"/>
      <c r="U44" s="268">
        <v>0</v>
      </c>
      <c r="V44" s="269">
        <v>0</v>
      </c>
      <c r="W44" s="268">
        <v>0</v>
      </c>
      <c r="X44" s="269">
        <v>0</v>
      </c>
      <c r="Y44" s="268">
        <v>0</v>
      </c>
      <c r="Z44" s="269">
        <v>0</v>
      </c>
      <c r="AA44" s="268">
        <v>0</v>
      </c>
      <c r="AB44" s="269">
        <v>0</v>
      </c>
      <c r="AC44" s="270">
        <v>155054.59100000001</v>
      </c>
      <c r="AD44" s="271">
        <v>61146000</v>
      </c>
      <c r="AE44" s="270">
        <v>116704.47900000001</v>
      </c>
      <c r="AF44" s="271">
        <v>43875000</v>
      </c>
      <c r="AG44" s="270">
        <v>35634.398000000001</v>
      </c>
      <c r="AH44" s="271">
        <v>2675000</v>
      </c>
      <c r="AI44" s="272">
        <f t="shared" si="9"/>
        <v>155054.59100000001</v>
      </c>
      <c r="AJ44" s="272">
        <f t="shared" si="0"/>
        <v>152338.87700000001</v>
      </c>
      <c r="AK44" s="273">
        <f t="shared" si="5"/>
        <v>0</v>
      </c>
      <c r="AL44" s="274">
        <f t="shared" si="5"/>
        <v>0</v>
      </c>
      <c r="AM44" s="275">
        <f t="shared" si="1"/>
        <v>107696000</v>
      </c>
      <c r="AN44" s="276">
        <f t="shared" si="6"/>
        <v>107696000</v>
      </c>
      <c r="AO44" s="277">
        <f t="shared" si="2"/>
        <v>107696000</v>
      </c>
      <c r="AP44" s="279">
        <v>134469164.84999999</v>
      </c>
      <c r="AQ44" s="278">
        <f t="shared" si="7"/>
        <v>0</v>
      </c>
      <c r="AR44" s="279">
        <f>IFERROR((VLOOKUP(B44,#REF!,24,FALSE)*1000),0)</f>
        <v>0</v>
      </c>
      <c r="AS44" s="280"/>
      <c r="AT44" s="334">
        <f t="shared" si="8"/>
        <v>0</v>
      </c>
      <c r="AU44" s="281">
        <f t="shared" si="3"/>
        <v>-26773164.849999994</v>
      </c>
    </row>
    <row r="45" spans="1:47" ht="15" customHeight="1" x14ac:dyDescent="0.25">
      <c r="A45" s="261">
        <v>42</v>
      </c>
      <c r="B45" s="5">
        <v>391020</v>
      </c>
      <c r="C45" s="6" t="s">
        <v>144</v>
      </c>
      <c r="D45" s="262"/>
      <c r="E45" s="263"/>
      <c r="F45" s="264"/>
      <c r="G45" s="262"/>
      <c r="H45" s="264"/>
      <c r="I45" s="262"/>
      <c r="J45" s="264"/>
      <c r="K45" s="262"/>
      <c r="L45" s="265">
        <f>IFERROR((VLOOKUP($B45,'АПП БАЗ (0)'!$B$8:$X$72,3,FALSE)),0)</f>
        <v>0</v>
      </c>
      <c r="M45" s="266">
        <f>IFERROR((VLOOKUP($B45,'АПП БАЗ (0)'!$B$8:$X$72,4,FALSE)*1000),0)</f>
        <v>0</v>
      </c>
      <c r="N45" s="264"/>
      <c r="O45" s="262"/>
      <c r="P45" s="267">
        <v>0</v>
      </c>
      <c r="Q45" s="265">
        <f>IFERROR((VLOOKUP($B45,'АПП БАЗ (0)'!$B$8:$X$72,10,FALSE)),0)+IFERROR((VLOOKUP($B45,'АПП БАЗ (0)'!$B$8:$X$72,22,FALSE)),0)</f>
        <v>0</v>
      </c>
      <c r="R45" s="266">
        <f>IFERROR((VLOOKUP($B45,'АПП БАЗ (0)'!$B$8:$X$72,11,FALSE)),0)*1000+IFERROR((VLOOKUP($B45,'АПП БАЗ (0)'!$B$8:$X$72,23,FALSE)),0)*1000</f>
        <v>0</v>
      </c>
      <c r="S45" s="264"/>
      <c r="T45" s="262"/>
      <c r="U45" s="268">
        <v>0</v>
      </c>
      <c r="V45" s="269">
        <v>0</v>
      </c>
      <c r="W45" s="268">
        <v>0</v>
      </c>
      <c r="X45" s="269">
        <v>0</v>
      </c>
      <c r="Y45" s="268">
        <v>0</v>
      </c>
      <c r="Z45" s="269">
        <v>0</v>
      </c>
      <c r="AA45" s="268">
        <v>0</v>
      </c>
      <c r="AB45" s="269">
        <v>0</v>
      </c>
      <c r="AC45" s="270">
        <v>103399.519</v>
      </c>
      <c r="AD45" s="271">
        <v>40365000</v>
      </c>
      <c r="AE45" s="270">
        <v>77041.445999999996</v>
      </c>
      <c r="AF45" s="271">
        <v>29836000</v>
      </c>
      <c r="AG45" s="270">
        <v>24232.202000000001</v>
      </c>
      <c r="AH45" s="271">
        <v>2094000</v>
      </c>
      <c r="AI45" s="272">
        <f t="shared" si="9"/>
        <v>103399.519</v>
      </c>
      <c r="AJ45" s="272">
        <f t="shared" si="0"/>
        <v>101273.648</v>
      </c>
      <c r="AK45" s="273">
        <f t="shared" si="5"/>
        <v>0</v>
      </c>
      <c r="AL45" s="274">
        <f t="shared" si="5"/>
        <v>0</v>
      </c>
      <c r="AM45" s="275">
        <f t="shared" si="1"/>
        <v>72295000</v>
      </c>
      <c r="AN45" s="276">
        <f t="shared" si="6"/>
        <v>72295000</v>
      </c>
      <c r="AO45" s="277">
        <f t="shared" si="2"/>
        <v>72295000</v>
      </c>
      <c r="AP45" s="279">
        <v>94341154.200000003</v>
      </c>
      <c r="AQ45" s="278">
        <f t="shared" si="7"/>
        <v>0</v>
      </c>
      <c r="AR45" s="279">
        <f>IFERROR((VLOOKUP(B45,#REF!,24,FALSE)*1000),0)</f>
        <v>0</v>
      </c>
      <c r="AS45" s="280"/>
      <c r="AT45" s="334">
        <f t="shared" si="8"/>
        <v>0</v>
      </c>
      <c r="AU45" s="281">
        <f t="shared" si="3"/>
        <v>-22046154.200000003</v>
      </c>
    </row>
    <row r="46" spans="1:47" ht="15" customHeight="1" x14ac:dyDescent="0.25">
      <c r="A46" s="261">
        <v>43</v>
      </c>
      <c r="B46" s="5">
        <v>391110</v>
      </c>
      <c r="C46" s="6" t="s">
        <v>143</v>
      </c>
      <c r="D46" s="262"/>
      <c r="E46" s="263"/>
      <c r="F46" s="264"/>
      <c r="G46" s="262"/>
      <c r="H46" s="264"/>
      <c r="I46" s="262"/>
      <c r="J46" s="264"/>
      <c r="K46" s="262"/>
      <c r="L46" s="265">
        <f>IFERROR((VLOOKUP($B46,'АПП БАЗ (0)'!$B$8:$X$72,3,FALSE)),0)</f>
        <v>0</v>
      </c>
      <c r="M46" s="266">
        <f>IFERROR((VLOOKUP($B46,'АПП БАЗ (0)'!$B$8:$X$72,4,FALSE)*1000),0)</f>
        <v>0</v>
      </c>
      <c r="N46" s="264"/>
      <c r="O46" s="262"/>
      <c r="P46" s="267">
        <v>0</v>
      </c>
      <c r="Q46" s="265">
        <f>IFERROR((VLOOKUP($B46,'АПП БАЗ (0)'!$B$8:$X$72,10,FALSE)),0)+IFERROR((VLOOKUP($B46,'АПП БАЗ (0)'!$B$8:$X$72,22,FALSE)),0)</f>
        <v>0</v>
      </c>
      <c r="R46" s="266">
        <f>IFERROR((VLOOKUP($B46,'АПП БАЗ (0)'!$B$8:$X$72,11,FALSE)),0)*1000+IFERROR((VLOOKUP($B46,'АПП БАЗ (0)'!$B$8:$X$72,23,FALSE)),0)*1000</f>
        <v>0</v>
      </c>
      <c r="S46" s="264"/>
      <c r="T46" s="262"/>
      <c r="U46" s="268">
        <v>0</v>
      </c>
      <c r="V46" s="269">
        <v>0</v>
      </c>
      <c r="W46" s="268">
        <v>0</v>
      </c>
      <c r="X46" s="269">
        <v>0</v>
      </c>
      <c r="Y46" s="268">
        <v>0</v>
      </c>
      <c r="Z46" s="269">
        <v>0</v>
      </c>
      <c r="AA46" s="268">
        <v>0</v>
      </c>
      <c r="AB46" s="269">
        <v>0</v>
      </c>
      <c r="AC46" s="270">
        <v>42256.817000000003</v>
      </c>
      <c r="AD46" s="271">
        <v>16762000</v>
      </c>
      <c r="AE46" s="270">
        <v>31992.288</v>
      </c>
      <c r="AF46" s="271">
        <v>11477000</v>
      </c>
      <c r="AG46" s="270">
        <v>9321.39</v>
      </c>
      <c r="AH46" s="271">
        <v>929000</v>
      </c>
      <c r="AI46" s="272">
        <f t="shared" si="9"/>
        <v>42256.817000000003</v>
      </c>
      <c r="AJ46" s="272">
        <f t="shared" si="0"/>
        <v>41313.678</v>
      </c>
      <c r="AK46" s="273">
        <f t="shared" si="5"/>
        <v>0</v>
      </c>
      <c r="AL46" s="274">
        <f t="shared" si="5"/>
        <v>0</v>
      </c>
      <c r="AM46" s="275">
        <f t="shared" si="1"/>
        <v>29168000</v>
      </c>
      <c r="AN46" s="276">
        <f t="shared" si="6"/>
        <v>29168000</v>
      </c>
      <c r="AO46" s="277">
        <f t="shared" si="2"/>
        <v>29168000</v>
      </c>
      <c r="AP46" s="279">
        <v>41031631.950000003</v>
      </c>
      <c r="AQ46" s="278">
        <f t="shared" si="7"/>
        <v>0</v>
      </c>
      <c r="AR46" s="279">
        <f>IFERROR((VLOOKUP(B46,#REF!,24,FALSE)*1000),0)</f>
        <v>0</v>
      </c>
      <c r="AS46" s="280"/>
      <c r="AT46" s="334">
        <f t="shared" si="8"/>
        <v>0</v>
      </c>
      <c r="AU46" s="281">
        <f t="shared" si="3"/>
        <v>-11863631.950000003</v>
      </c>
    </row>
    <row r="47" spans="1:47" ht="15" customHeight="1" x14ac:dyDescent="0.25">
      <c r="A47" s="261">
        <v>44</v>
      </c>
      <c r="B47" s="5">
        <v>390286</v>
      </c>
      <c r="C47" s="6" t="s">
        <v>142</v>
      </c>
      <c r="D47" s="262"/>
      <c r="E47" s="263"/>
      <c r="F47" s="264"/>
      <c r="G47" s="262"/>
      <c r="H47" s="264"/>
      <c r="I47" s="262"/>
      <c r="J47" s="264"/>
      <c r="K47" s="262"/>
      <c r="L47" s="265">
        <f>IFERROR((VLOOKUP($B47,'АПП БАЗ (0)'!$B$8:$X$72,3,FALSE)),0)</f>
        <v>0</v>
      </c>
      <c r="M47" s="266">
        <f>IFERROR((VLOOKUP($B47,'АПП БАЗ (0)'!$B$8:$X$72,4,FALSE)*1000),0)</f>
        <v>0</v>
      </c>
      <c r="N47" s="264"/>
      <c r="O47" s="262"/>
      <c r="P47" s="267">
        <v>0</v>
      </c>
      <c r="Q47" s="265">
        <f>IFERROR((VLOOKUP($B47,'АПП БАЗ (0)'!$B$8:$X$72,10,FALSE)),0)+IFERROR((VLOOKUP($B47,'АПП БАЗ (0)'!$B$8:$X$72,22,FALSE)),0)</f>
        <v>0</v>
      </c>
      <c r="R47" s="266">
        <f>IFERROR((VLOOKUP($B47,'АПП БАЗ (0)'!$B$8:$X$72,11,FALSE)),0)*1000+IFERROR((VLOOKUP($B47,'АПП БАЗ (0)'!$B$8:$X$72,23,FALSE)),0)*1000</f>
        <v>0</v>
      </c>
      <c r="S47" s="264"/>
      <c r="T47" s="262"/>
      <c r="U47" s="268">
        <v>0</v>
      </c>
      <c r="V47" s="269">
        <v>0</v>
      </c>
      <c r="W47" s="268">
        <v>0</v>
      </c>
      <c r="X47" s="269">
        <v>0</v>
      </c>
      <c r="Y47" s="268">
        <v>0</v>
      </c>
      <c r="Z47" s="269">
        <v>0</v>
      </c>
      <c r="AA47" s="268">
        <v>0</v>
      </c>
      <c r="AB47" s="269">
        <v>0</v>
      </c>
      <c r="AC47" s="270">
        <v>35217.055</v>
      </c>
      <c r="AD47" s="271">
        <v>13612000</v>
      </c>
      <c r="AE47" s="270">
        <v>25980.134999999998</v>
      </c>
      <c r="AF47" s="271">
        <v>10438000</v>
      </c>
      <c r="AG47" s="270">
        <v>8477.5349999999999</v>
      </c>
      <c r="AH47" s="271">
        <v>748000</v>
      </c>
      <c r="AI47" s="272">
        <f t="shared" si="9"/>
        <v>35217.055</v>
      </c>
      <c r="AJ47" s="272">
        <f t="shared" si="0"/>
        <v>34457.67</v>
      </c>
      <c r="AK47" s="273">
        <f t="shared" si="5"/>
        <v>0</v>
      </c>
      <c r="AL47" s="274">
        <f t="shared" si="5"/>
        <v>0</v>
      </c>
      <c r="AM47" s="275">
        <f t="shared" si="1"/>
        <v>24798000</v>
      </c>
      <c r="AN47" s="276">
        <f t="shared" si="6"/>
        <v>24798000</v>
      </c>
      <c r="AO47" s="277">
        <f t="shared" si="2"/>
        <v>24798000</v>
      </c>
      <c r="AP47" s="279">
        <v>31322043.459999997</v>
      </c>
      <c r="AQ47" s="278">
        <f t="shared" si="7"/>
        <v>0</v>
      </c>
      <c r="AR47" s="279">
        <f>IFERROR((VLOOKUP(B47,#REF!,24,FALSE)*1000),0)</f>
        <v>0</v>
      </c>
      <c r="AS47" s="280"/>
      <c r="AT47" s="334">
        <f t="shared" si="8"/>
        <v>0</v>
      </c>
      <c r="AU47" s="281">
        <f t="shared" si="3"/>
        <v>-6524043.4599999972</v>
      </c>
    </row>
    <row r="48" spans="1:47" ht="15" customHeight="1" x14ac:dyDescent="0.25">
      <c r="A48" s="261">
        <v>45</v>
      </c>
      <c r="B48" s="5">
        <v>392240</v>
      </c>
      <c r="C48" s="6" t="s">
        <v>141</v>
      </c>
      <c r="D48" s="262"/>
      <c r="E48" s="263"/>
      <c r="F48" s="264"/>
      <c r="G48" s="262"/>
      <c r="H48" s="264"/>
      <c r="I48" s="262"/>
      <c r="J48" s="264"/>
      <c r="K48" s="262"/>
      <c r="L48" s="265">
        <f>IFERROR((VLOOKUP($B48,'АПП БАЗ (0)'!$B$8:$X$72,3,FALSE)),0)</f>
        <v>0</v>
      </c>
      <c r="M48" s="266">
        <f>IFERROR((VLOOKUP($B48,'АПП БАЗ (0)'!$B$8:$X$72,4,FALSE)*1000),0)</f>
        <v>0</v>
      </c>
      <c r="N48" s="264"/>
      <c r="O48" s="262"/>
      <c r="P48" s="267">
        <v>0</v>
      </c>
      <c r="Q48" s="265">
        <f>IFERROR((VLOOKUP($B48,'АПП БАЗ (0)'!$B$8:$X$72,10,FALSE)),0)+IFERROR((VLOOKUP($B48,'АПП БАЗ (0)'!$B$8:$X$72,22,FALSE)),0)</f>
        <v>0</v>
      </c>
      <c r="R48" s="266">
        <f>IFERROR((VLOOKUP($B48,'АПП БАЗ (0)'!$B$8:$X$72,11,FALSE)),0)*1000+IFERROR((VLOOKUP($B48,'АПП БАЗ (0)'!$B$8:$X$72,23,FALSE)),0)*1000</f>
        <v>0</v>
      </c>
      <c r="S48" s="264"/>
      <c r="T48" s="262"/>
      <c r="U48" s="268">
        <v>0</v>
      </c>
      <c r="V48" s="269">
        <v>0</v>
      </c>
      <c r="W48" s="268">
        <v>0</v>
      </c>
      <c r="X48" s="269">
        <v>0</v>
      </c>
      <c r="Y48" s="268">
        <v>0</v>
      </c>
      <c r="Z48" s="269">
        <v>0</v>
      </c>
      <c r="AA48" s="268">
        <v>0</v>
      </c>
      <c r="AB48" s="269">
        <v>0</v>
      </c>
      <c r="AC48" s="270">
        <v>2391.7849999999999</v>
      </c>
      <c r="AD48" s="271">
        <v>949000</v>
      </c>
      <c r="AE48" s="270">
        <v>1811.28</v>
      </c>
      <c r="AF48" s="271">
        <v>651000</v>
      </c>
      <c r="AG48" s="270">
        <v>528.72900000000004</v>
      </c>
      <c r="AH48" s="271">
        <v>51000</v>
      </c>
      <c r="AI48" s="272">
        <f t="shared" si="9"/>
        <v>2391.7849999999999</v>
      </c>
      <c r="AJ48" s="272">
        <f t="shared" si="0"/>
        <v>2340.009</v>
      </c>
      <c r="AK48" s="273">
        <f t="shared" si="5"/>
        <v>0</v>
      </c>
      <c r="AL48" s="274">
        <f t="shared" si="5"/>
        <v>0</v>
      </c>
      <c r="AM48" s="275">
        <f t="shared" si="1"/>
        <v>1651000</v>
      </c>
      <c r="AN48" s="276">
        <f t="shared" si="6"/>
        <v>1651000</v>
      </c>
      <c r="AO48" s="277">
        <f t="shared" si="2"/>
        <v>1651000</v>
      </c>
      <c r="AP48" s="279">
        <v>2323614.9300000002</v>
      </c>
      <c r="AQ48" s="278">
        <f t="shared" si="7"/>
        <v>0</v>
      </c>
      <c r="AR48" s="279">
        <f>IFERROR((VLOOKUP(B48,#REF!,24,FALSE)*1000),0)</f>
        <v>0</v>
      </c>
      <c r="AS48" s="280"/>
      <c r="AT48" s="334">
        <f t="shared" si="8"/>
        <v>0</v>
      </c>
      <c r="AU48" s="281">
        <f t="shared" si="3"/>
        <v>-672614.93000000017</v>
      </c>
    </row>
    <row r="49" spans="1:47" ht="15" customHeight="1" x14ac:dyDescent="0.25">
      <c r="A49" s="261">
        <v>46</v>
      </c>
      <c r="B49" s="5">
        <v>391090</v>
      </c>
      <c r="C49" s="6" t="s">
        <v>140</v>
      </c>
      <c r="D49" s="262"/>
      <c r="E49" s="263"/>
      <c r="F49" s="264"/>
      <c r="G49" s="262"/>
      <c r="H49" s="264"/>
      <c r="I49" s="262"/>
      <c r="J49" s="264"/>
      <c r="K49" s="262"/>
      <c r="L49" s="265">
        <f>IFERROR((VLOOKUP($B49,'АПП БАЗ (0)'!$B$8:$X$72,3,FALSE)),0)</f>
        <v>0</v>
      </c>
      <c r="M49" s="266">
        <f>IFERROR((VLOOKUP($B49,'АПП БАЗ (0)'!$B$8:$X$72,4,FALSE)*1000),0)</f>
        <v>0</v>
      </c>
      <c r="N49" s="264"/>
      <c r="O49" s="262"/>
      <c r="P49" s="267">
        <v>0</v>
      </c>
      <c r="Q49" s="265">
        <f>IFERROR((VLOOKUP($B49,'АПП БАЗ (0)'!$B$8:$X$72,10,FALSE)),0)+IFERROR((VLOOKUP($B49,'АПП БАЗ (0)'!$B$8:$X$72,22,FALSE)),0)</f>
        <v>0</v>
      </c>
      <c r="R49" s="266">
        <f>IFERROR((VLOOKUP($B49,'АПП БАЗ (0)'!$B$8:$X$72,11,FALSE)),0)*1000+IFERROR((VLOOKUP($B49,'АПП БАЗ (0)'!$B$8:$X$72,23,FALSE)),0)*1000</f>
        <v>0</v>
      </c>
      <c r="S49" s="264"/>
      <c r="T49" s="262"/>
      <c r="U49" s="268">
        <v>0</v>
      </c>
      <c r="V49" s="269">
        <v>0</v>
      </c>
      <c r="W49" s="268">
        <v>0</v>
      </c>
      <c r="X49" s="269">
        <v>0</v>
      </c>
      <c r="Y49" s="268">
        <v>0</v>
      </c>
      <c r="Z49" s="269">
        <v>0</v>
      </c>
      <c r="AA49" s="268">
        <v>0</v>
      </c>
      <c r="AB49" s="269">
        <v>0</v>
      </c>
      <c r="AC49" s="270">
        <v>76950.542000000001</v>
      </c>
      <c r="AD49" s="271">
        <v>31078000</v>
      </c>
      <c r="AE49" s="270">
        <v>59316.091999999997</v>
      </c>
      <c r="AF49" s="271">
        <v>19635000</v>
      </c>
      <c r="AG49" s="270">
        <v>15947.154</v>
      </c>
      <c r="AH49" s="271">
        <v>1662000</v>
      </c>
      <c r="AI49" s="272">
        <f t="shared" si="9"/>
        <v>76950.542000000001</v>
      </c>
      <c r="AJ49" s="272">
        <f t="shared" si="0"/>
        <v>75263.245999999999</v>
      </c>
      <c r="AK49" s="273">
        <f t="shared" si="5"/>
        <v>0</v>
      </c>
      <c r="AL49" s="274">
        <f t="shared" si="5"/>
        <v>0</v>
      </c>
      <c r="AM49" s="275">
        <f t="shared" si="1"/>
        <v>52375000</v>
      </c>
      <c r="AN49" s="276">
        <f t="shared" si="6"/>
        <v>52375000</v>
      </c>
      <c r="AO49" s="277">
        <f t="shared" si="2"/>
        <v>52375000</v>
      </c>
      <c r="AP49" s="279">
        <v>74776476.079999998</v>
      </c>
      <c r="AQ49" s="278">
        <f t="shared" si="7"/>
        <v>0</v>
      </c>
      <c r="AR49" s="279">
        <f>IFERROR((VLOOKUP(B49,#REF!,24,FALSE)*1000),0)</f>
        <v>0</v>
      </c>
      <c r="AS49" s="280"/>
      <c r="AT49" s="334">
        <f t="shared" si="8"/>
        <v>0</v>
      </c>
      <c r="AU49" s="281">
        <f t="shared" si="3"/>
        <v>-22401476.079999998</v>
      </c>
    </row>
    <row r="50" spans="1:47" ht="15" customHeight="1" x14ac:dyDescent="0.25">
      <c r="A50" s="261">
        <v>47</v>
      </c>
      <c r="B50" s="5">
        <v>391200</v>
      </c>
      <c r="C50" s="6" t="s">
        <v>139</v>
      </c>
      <c r="D50" s="262"/>
      <c r="E50" s="263"/>
      <c r="F50" s="264"/>
      <c r="G50" s="262"/>
      <c r="H50" s="264"/>
      <c r="I50" s="262"/>
      <c r="J50" s="264"/>
      <c r="K50" s="262"/>
      <c r="L50" s="265">
        <f>IFERROR((VLOOKUP($B50,'АПП БАЗ (0)'!$B$8:$X$72,3,FALSE)),0)</f>
        <v>0</v>
      </c>
      <c r="M50" s="266">
        <f>IFERROR((VLOOKUP($B50,'АПП БАЗ (0)'!$B$8:$X$72,4,FALSE)*1000),0)</f>
        <v>0</v>
      </c>
      <c r="N50" s="264"/>
      <c r="O50" s="262"/>
      <c r="P50" s="267">
        <v>0</v>
      </c>
      <c r="Q50" s="265">
        <f>IFERROR((VLOOKUP($B50,'АПП БАЗ (0)'!$B$8:$X$72,10,FALSE)),0)+IFERROR((VLOOKUP($B50,'АПП БАЗ (0)'!$B$8:$X$72,22,FALSE)),0)</f>
        <v>0</v>
      </c>
      <c r="R50" s="266">
        <f>IFERROR((VLOOKUP($B50,'АПП БАЗ (0)'!$B$8:$X$72,11,FALSE)),0)*1000+IFERROR((VLOOKUP($B50,'АПП БАЗ (0)'!$B$8:$X$72,23,FALSE)),0)*1000</f>
        <v>0</v>
      </c>
      <c r="S50" s="264"/>
      <c r="T50" s="262"/>
      <c r="U50" s="268">
        <v>0</v>
      </c>
      <c r="V50" s="269">
        <v>0</v>
      </c>
      <c r="W50" s="268">
        <v>0</v>
      </c>
      <c r="X50" s="269">
        <v>0</v>
      </c>
      <c r="Y50" s="268">
        <v>0</v>
      </c>
      <c r="Z50" s="269">
        <v>0</v>
      </c>
      <c r="AA50" s="268">
        <v>0</v>
      </c>
      <c r="AB50" s="269">
        <v>0</v>
      </c>
      <c r="AC50" s="270">
        <v>13567.124</v>
      </c>
      <c r="AD50" s="271">
        <v>5406000</v>
      </c>
      <c r="AE50" s="270">
        <v>10318</v>
      </c>
      <c r="AF50" s="271">
        <v>3623000</v>
      </c>
      <c r="AG50" s="270">
        <v>2942.5279999999998</v>
      </c>
      <c r="AH50" s="271">
        <v>302000</v>
      </c>
      <c r="AI50" s="272">
        <f t="shared" si="9"/>
        <v>13567.124</v>
      </c>
      <c r="AJ50" s="272">
        <f t="shared" si="0"/>
        <v>13260.528</v>
      </c>
      <c r="AK50" s="273">
        <f t="shared" si="5"/>
        <v>0</v>
      </c>
      <c r="AL50" s="274">
        <f t="shared" si="5"/>
        <v>0</v>
      </c>
      <c r="AM50" s="275">
        <f t="shared" si="1"/>
        <v>9331000</v>
      </c>
      <c r="AN50" s="276">
        <f t="shared" si="6"/>
        <v>9331000</v>
      </c>
      <c r="AO50" s="277">
        <f t="shared" si="2"/>
        <v>9331000</v>
      </c>
      <c r="AP50" s="279">
        <v>13177895.210000001</v>
      </c>
      <c r="AQ50" s="278">
        <f t="shared" si="7"/>
        <v>0</v>
      </c>
      <c r="AR50" s="279">
        <f>IFERROR((VLOOKUP(B50,#REF!,24,FALSE)*1000),0)</f>
        <v>0</v>
      </c>
      <c r="AS50" s="280"/>
      <c r="AT50" s="334">
        <f t="shared" si="8"/>
        <v>0</v>
      </c>
      <c r="AU50" s="281">
        <f t="shared" si="3"/>
        <v>-3846895.2100000009</v>
      </c>
    </row>
    <row r="51" spans="1:47" ht="15" customHeight="1" x14ac:dyDescent="0.25">
      <c r="A51" s="261">
        <v>48</v>
      </c>
      <c r="B51" s="5">
        <v>391350</v>
      </c>
      <c r="C51" s="6" t="s">
        <v>138</v>
      </c>
      <c r="D51" s="262"/>
      <c r="E51" s="263"/>
      <c r="F51" s="264"/>
      <c r="G51" s="262"/>
      <c r="H51" s="264"/>
      <c r="I51" s="262"/>
      <c r="J51" s="264"/>
      <c r="K51" s="262"/>
      <c r="L51" s="265">
        <f>IFERROR((VLOOKUP($B51,'АПП БАЗ (0)'!$B$8:$X$72,3,FALSE)),0)</f>
        <v>0</v>
      </c>
      <c r="M51" s="266">
        <f>IFERROR((VLOOKUP($B51,'АПП БАЗ (0)'!$B$8:$X$72,4,FALSE)*1000),0)</f>
        <v>0</v>
      </c>
      <c r="N51" s="264"/>
      <c r="O51" s="262"/>
      <c r="P51" s="267">
        <v>0</v>
      </c>
      <c r="Q51" s="265">
        <f>IFERROR((VLOOKUP($B51,'АПП БАЗ (0)'!$B$8:$X$72,10,FALSE)),0)+IFERROR((VLOOKUP($B51,'АПП БАЗ (0)'!$B$8:$X$72,22,FALSE)),0)</f>
        <v>0</v>
      </c>
      <c r="R51" s="266">
        <f>IFERROR((VLOOKUP($B51,'АПП БАЗ (0)'!$B$8:$X$72,11,FALSE)),0)*1000+IFERROR((VLOOKUP($B51,'АПП БАЗ (0)'!$B$8:$X$72,23,FALSE)),0)*1000</f>
        <v>0</v>
      </c>
      <c r="S51" s="264"/>
      <c r="T51" s="262"/>
      <c r="U51" s="268">
        <v>0</v>
      </c>
      <c r="V51" s="269">
        <v>0</v>
      </c>
      <c r="W51" s="268">
        <v>0</v>
      </c>
      <c r="X51" s="269">
        <v>0</v>
      </c>
      <c r="Y51" s="268">
        <v>0</v>
      </c>
      <c r="Z51" s="269">
        <v>0</v>
      </c>
      <c r="AA51" s="268">
        <v>0</v>
      </c>
      <c r="AB51" s="269">
        <v>0</v>
      </c>
      <c r="AC51" s="270">
        <v>10886.04</v>
      </c>
      <c r="AD51" s="271">
        <v>4590000</v>
      </c>
      <c r="AE51" s="270">
        <v>8760.5660000000007</v>
      </c>
      <c r="AF51" s="271">
        <v>2387000</v>
      </c>
      <c r="AG51" s="270">
        <v>1938.674</v>
      </c>
      <c r="AH51" s="271">
        <v>184000</v>
      </c>
      <c r="AI51" s="272">
        <f t="shared" si="9"/>
        <v>10886.04</v>
      </c>
      <c r="AJ51" s="272">
        <f t="shared" si="0"/>
        <v>10699.240000000002</v>
      </c>
      <c r="AK51" s="273">
        <f t="shared" si="5"/>
        <v>0</v>
      </c>
      <c r="AL51" s="274">
        <f t="shared" si="5"/>
        <v>0</v>
      </c>
      <c r="AM51" s="275">
        <f t="shared" si="1"/>
        <v>7161000</v>
      </c>
      <c r="AN51" s="276">
        <f t="shared" si="6"/>
        <v>7161000</v>
      </c>
      <c r="AO51" s="277">
        <f t="shared" si="2"/>
        <v>7161000</v>
      </c>
      <c r="AP51" s="279">
        <v>10598460.569999998</v>
      </c>
      <c r="AQ51" s="278">
        <f t="shared" si="7"/>
        <v>0</v>
      </c>
      <c r="AR51" s="279">
        <f>IFERROR((VLOOKUP(B51,#REF!,24,FALSE)*1000),0)</f>
        <v>0</v>
      </c>
      <c r="AS51" s="280"/>
      <c r="AT51" s="334">
        <f t="shared" si="8"/>
        <v>0</v>
      </c>
      <c r="AU51" s="281">
        <f t="shared" si="3"/>
        <v>-3437460.5699999984</v>
      </c>
    </row>
    <row r="52" spans="1:47" ht="15" customHeight="1" x14ac:dyDescent="0.25">
      <c r="A52" s="261">
        <v>49</v>
      </c>
      <c r="B52" s="5">
        <v>391640</v>
      </c>
      <c r="C52" s="6" t="s">
        <v>137</v>
      </c>
      <c r="D52" s="262"/>
      <c r="E52" s="263"/>
      <c r="F52" s="264"/>
      <c r="G52" s="262"/>
      <c r="H52" s="264"/>
      <c r="I52" s="262"/>
      <c r="J52" s="264"/>
      <c r="K52" s="262"/>
      <c r="L52" s="265">
        <f>IFERROR((VLOOKUP($B52,'АПП БАЗ (0)'!$B$8:$X$72,3,FALSE)),0)</f>
        <v>0</v>
      </c>
      <c r="M52" s="266">
        <f>IFERROR((VLOOKUP($B52,'АПП БАЗ (0)'!$B$8:$X$72,4,FALSE)*1000),0)</f>
        <v>0</v>
      </c>
      <c r="N52" s="264"/>
      <c r="O52" s="262"/>
      <c r="P52" s="267">
        <v>0</v>
      </c>
      <c r="Q52" s="265">
        <f>IFERROR((VLOOKUP($B52,'АПП БАЗ (0)'!$B$8:$X$72,10,FALSE)),0)+IFERROR((VLOOKUP($B52,'АПП БАЗ (0)'!$B$8:$X$72,22,FALSE)),0)</f>
        <v>0</v>
      </c>
      <c r="R52" s="266">
        <f>IFERROR((VLOOKUP($B52,'АПП БАЗ (0)'!$B$8:$X$72,11,FALSE)),0)*1000+IFERROR((VLOOKUP($B52,'АПП БАЗ (0)'!$B$8:$X$72,23,FALSE)),0)*1000</f>
        <v>0</v>
      </c>
      <c r="S52" s="264"/>
      <c r="T52" s="262"/>
      <c r="U52" s="268">
        <v>0</v>
      </c>
      <c r="V52" s="269">
        <v>0</v>
      </c>
      <c r="W52" s="268">
        <v>0</v>
      </c>
      <c r="X52" s="269">
        <v>0</v>
      </c>
      <c r="Y52" s="268">
        <v>0</v>
      </c>
      <c r="Z52" s="269">
        <v>0</v>
      </c>
      <c r="AA52" s="268">
        <v>0</v>
      </c>
      <c r="AB52" s="269">
        <v>0</v>
      </c>
      <c r="AC52" s="270">
        <v>14408.540999999999</v>
      </c>
      <c r="AD52" s="271">
        <v>6131000</v>
      </c>
      <c r="AE52" s="270">
        <v>11701.749</v>
      </c>
      <c r="AF52" s="271">
        <v>3039000</v>
      </c>
      <c r="AG52" s="270">
        <v>2468.2150000000001</v>
      </c>
      <c r="AH52" s="271">
        <v>235000</v>
      </c>
      <c r="AI52" s="272">
        <f t="shared" si="9"/>
        <v>14408.540999999999</v>
      </c>
      <c r="AJ52" s="272">
        <f t="shared" si="0"/>
        <v>14169.964</v>
      </c>
      <c r="AK52" s="273">
        <f t="shared" si="5"/>
        <v>0</v>
      </c>
      <c r="AL52" s="274">
        <f t="shared" si="5"/>
        <v>0</v>
      </c>
      <c r="AM52" s="275">
        <f t="shared" si="1"/>
        <v>9405000</v>
      </c>
      <c r="AN52" s="276">
        <f t="shared" si="6"/>
        <v>9405000</v>
      </c>
      <c r="AO52" s="277">
        <f t="shared" si="2"/>
        <v>9405000</v>
      </c>
      <c r="AP52" s="279">
        <v>14031064.379999999</v>
      </c>
      <c r="AQ52" s="278">
        <f t="shared" si="7"/>
        <v>0</v>
      </c>
      <c r="AR52" s="279">
        <f>IFERROR((VLOOKUP(B52,#REF!,24,FALSE)*1000),0)</f>
        <v>0</v>
      </c>
      <c r="AS52" s="280"/>
      <c r="AT52" s="334">
        <f t="shared" si="8"/>
        <v>0</v>
      </c>
      <c r="AU52" s="281">
        <f t="shared" si="3"/>
        <v>-4626064.379999999</v>
      </c>
    </row>
    <row r="53" spans="1:47" ht="15" customHeight="1" x14ac:dyDescent="0.25">
      <c r="A53" s="261">
        <v>50</v>
      </c>
      <c r="B53" s="5">
        <v>391720</v>
      </c>
      <c r="C53" s="6" t="s">
        <v>136</v>
      </c>
      <c r="D53" s="262"/>
      <c r="E53" s="263"/>
      <c r="F53" s="264"/>
      <c r="G53" s="262"/>
      <c r="H53" s="264"/>
      <c r="I53" s="262"/>
      <c r="J53" s="264"/>
      <c r="K53" s="262"/>
      <c r="L53" s="265">
        <f>IFERROR((VLOOKUP($B53,'АПП БАЗ (0)'!$B$8:$X$72,3,FALSE)),0)</f>
        <v>0</v>
      </c>
      <c r="M53" s="266">
        <f>IFERROR((VLOOKUP($B53,'АПП БАЗ (0)'!$B$8:$X$72,4,FALSE)*1000),0)</f>
        <v>0</v>
      </c>
      <c r="N53" s="264"/>
      <c r="O53" s="262"/>
      <c r="P53" s="267">
        <v>0</v>
      </c>
      <c r="Q53" s="265">
        <f>IFERROR((VLOOKUP($B53,'АПП БАЗ (0)'!$B$8:$X$72,10,FALSE)),0)+IFERROR((VLOOKUP($B53,'АПП БАЗ (0)'!$B$8:$X$72,22,FALSE)),0)</f>
        <v>0</v>
      </c>
      <c r="R53" s="266">
        <f>IFERROR((VLOOKUP($B53,'АПП БАЗ (0)'!$B$8:$X$72,11,FALSE)),0)*1000+IFERROR((VLOOKUP($B53,'АПП БАЗ (0)'!$B$8:$X$72,23,FALSE)),0)*1000</f>
        <v>0</v>
      </c>
      <c r="S53" s="264"/>
      <c r="T53" s="262"/>
      <c r="U53" s="268">
        <v>0</v>
      </c>
      <c r="V53" s="269">
        <v>0</v>
      </c>
      <c r="W53" s="268">
        <v>0</v>
      </c>
      <c r="X53" s="269">
        <v>0</v>
      </c>
      <c r="Y53" s="268">
        <v>0</v>
      </c>
      <c r="Z53" s="269">
        <v>0</v>
      </c>
      <c r="AA53" s="268">
        <v>0</v>
      </c>
      <c r="AB53" s="269">
        <v>0</v>
      </c>
      <c r="AC53" s="270">
        <v>5109.2970000000005</v>
      </c>
      <c r="AD53" s="271">
        <v>1996000</v>
      </c>
      <c r="AE53" s="270">
        <v>3809.6060000000002</v>
      </c>
      <c r="AF53" s="271">
        <v>1459000</v>
      </c>
      <c r="AG53" s="270">
        <v>1184.971</v>
      </c>
      <c r="AH53" s="271">
        <v>113000</v>
      </c>
      <c r="AI53" s="272">
        <f t="shared" si="9"/>
        <v>5109.2970000000005</v>
      </c>
      <c r="AJ53" s="272">
        <f t="shared" si="0"/>
        <v>4994.5770000000002</v>
      </c>
      <c r="AK53" s="273">
        <f t="shared" si="5"/>
        <v>0</v>
      </c>
      <c r="AL53" s="274">
        <f t="shared" si="5"/>
        <v>0</v>
      </c>
      <c r="AM53" s="275">
        <f t="shared" si="1"/>
        <v>3568000</v>
      </c>
      <c r="AN53" s="276">
        <f t="shared" si="6"/>
        <v>3568000</v>
      </c>
      <c r="AO53" s="277">
        <f t="shared" si="2"/>
        <v>3568000</v>
      </c>
      <c r="AP53" s="279">
        <v>4956810.46</v>
      </c>
      <c r="AQ53" s="278">
        <f t="shared" si="7"/>
        <v>0</v>
      </c>
      <c r="AR53" s="279">
        <f>IFERROR((VLOOKUP(B53,#REF!,24,FALSE)*1000),0)</f>
        <v>0</v>
      </c>
      <c r="AS53" s="280"/>
      <c r="AT53" s="334">
        <f t="shared" si="8"/>
        <v>0</v>
      </c>
      <c r="AU53" s="281">
        <f t="shared" si="3"/>
        <v>-1388810.46</v>
      </c>
    </row>
    <row r="54" spans="1:47" ht="15" customHeight="1" x14ac:dyDescent="0.25">
      <c r="A54" s="261">
        <v>51</v>
      </c>
      <c r="B54" s="5">
        <v>392390</v>
      </c>
      <c r="C54" s="6" t="s">
        <v>135</v>
      </c>
      <c r="D54" s="262"/>
      <c r="E54" s="263"/>
      <c r="F54" s="264"/>
      <c r="G54" s="262"/>
      <c r="H54" s="264"/>
      <c r="I54" s="262"/>
      <c r="J54" s="264"/>
      <c r="K54" s="262"/>
      <c r="L54" s="265">
        <f>IFERROR((VLOOKUP($B54,'АПП БАЗ (0)'!$B$8:$X$72,3,FALSE)),0)</f>
        <v>0</v>
      </c>
      <c r="M54" s="266">
        <f>IFERROR((VLOOKUP($B54,'АПП БАЗ (0)'!$B$8:$X$72,4,FALSE)*1000),0)</f>
        <v>0</v>
      </c>
      <c r="N54" s="264"/>
      <c r="O54" s="262"/>
      <c r="P54" s="267">
        <v>0</v>
      </c>
      <c r="Q54" s="265">
        <f>IFERROR((VLOOKUP($B54,'АПП БАЗ (0)'!$B$8:$X$72,10,FALSE)),0)+IFERROR((VLOOKUP($B54,'АПП БАЗ (0)'!$B$8:$X$72,22,FALSE)),0)</f>
        <v>0</v>
      </c>
      <c r="R54" s="266">
        <f>IFERROR((VLOOKUP($B54,'АПП БАЗ (0)'!$B$8:$X$72,11,FALSE)),0)*1000+IFERROR((VLOOKUP($B54,'АПП БАЗ (0)'!$B$8:$X$72,23,FALSE)),0)*1000</f>
        <v>0</v>
      </c>
      <c r="S54" s="264"/>
      <c r="T54" s="262"/>
      <c r="U54" s="268">
        <v>0</v>
      </c>
      <c r="V54" s="269">
        <v>0</v>
      </c>
      <c r="W54" s="268">
        <v>0</v>
      </c>
      <c r="X54" s="269">
        <v>0</v>
      </c>
      <c r="Y54" s="268">
        <v>0</v>
      </c>
      <c r="Z54" s="269">
        <v>0</v>
      </c>
      <c r="AA54" s="268">
        <v>0</v>
      </c>
      <c r="AB54" s="269">
        <v>0</v>
      </c>
      <c r="AC54" s="270">
        <v>19243.442999999999</v>
      </c>
      <c r="AD54" s="271">
        <v>7636000</v>
      </c>
      <c r="AE54" s="270">
        <v>14574.222</v>
      </c>
      <c r="AF54" s="271">
        <v>5239000</v>
      </c>
      <c r="AG54" s="270">
        <v>4255.0110000000004</v>
      </c>
      <c r="AH54" s="271">
        <v>408000</v>
      </c>
      <c r="AI54" s="272">
        <f t="shared" si="9"/>
        <v>19243.442999999999</v>
      </c>
      <c r="AJ54" s="272">
        <f t="shared" si="0"/>
        <v>18829.233</v>
      </c>
      <c r="AK54" s="273">
        <f t="shared" si="5"/>
        <v>0</v>
      </c>
      <c r="AL54" s="274">
        <f t="shared" si="5"/>
        <v>0</v>
      </c>
      <c r="AM54" s="275">
        <f t="shared" si="1"/>
        <v>13283000</v>
      </c>
      <c r="AN54" s="276">
        <f t="shared" si="6"/>
        <v>13283000</v>
      </c>
      <c r="AO54" s="277">
        <f t="shared" si="2"/>
        <v>13283000</v>
      </c>
      <c r="AP54" s="279">
        <v>18686709.699999999</v>
      </c>
      <c r="AQ54" s="278">
        <f t="shared" si="7"/>
        <v>0</v>
      </c>
      <c r="AR54" s="279">
        <f>IFERROR((VLOOKUP(B54,#REF!,24,FALSE)*1000),0)</f>
        <v>0</v>
      </c>
      <c r="AS54" s="280"/>
      <c r="AT54" s="334">
        <f t="shared" si="8"/>
        <v>0</v>
      </c>
      <c r="AU54" s="281">
        <f t="shared" si="3"/>
        <v>-5403709.6999999993</v>
      </c>
    </row>
    <row r="55" spans="1:47" ht="15" customHeight="1" x14ac:dyDescent="0.25">
      <c r="A55" s="261">
        <v>52</v>
      </c>
      <c r="B55" s="5">
        <v>392310</v>
      </c>
      <c r="C55" s="6" t="s">
        <v>134</v>
      </c>
      <c r="D55" s="262"/>
      <c r="E55" s="263"/>
      <c r="F55" s="264"/>
      <c r="G55" s="262"/>
      <c r="H55" s="264"/>
      <c r="I55" s="262"/>
      <c r="J55" s="264"/>
      <c r="K55" s="262"/>
      <c r="L55" s="265">
        <f>IFERROR((VLOOKUP($B55,'АПП БАЗ (0)'!$B$8:$X$72,3,FALSE)),0)</f>
        <v>0</v>
      </c>
      <c r="M55" s="266">
        <f>IFERROR((VLOOKUP($B55,'АПП БАЗ (0)'!$B$8:$X$72,4,FALSE)*1000),0)</f>
        <v>0</v>
      </c>
      <c r="N55" s="264"/>
      <c r="O55" s="262"/>
      <c r="P55" s="267">
        <v>0</v>
      </c>
      <c r="Q55" s="265">
        <f>IFERROR((VLOOKUP($B55,'АПП БАЗ (0)'!$B$8:$X$72,10,FALSE)),0)+IFERROR((VLOOKUP($B55,'АПП БАЗ (0)'!$B$8:$X$72,22,FALSE)),0)</f>
        <v>0</v>
      </c>
      <c r="R55" s="266">
        <f>IFERROR((VLOOKUP($B55,'АПП БАЗ (0)'!$B$8:$X$72,11,FALSE)),0)*1000+IFERROR((VLOOKUP($B55,'АПП БАЗ (0)'!$B$8:$X$72,23,FALSE)),0)*1000</f>
        <v>0</v>
      </c>
      <c r="S55" s="264"/>
      <c r="T55" s="262"/>
      <c r="U55" s="268">
        <v>0</v>
      </c>
      <c r="V55" s="269">
        <v>0</v>
      </c>
      <c r="W55" s="268">
        <v>0</v>
      </c>
      <c r="X55" s="269">
        <v>0</v>
      </c>
      <c r="Y55" s="268">
        <v>0</v>
      </c>
      <c r="Z55" s="269">
        <v>0</v>
      </c>
      <c r="AA55" s="268">
        <v>0</v>
      </c>
      <c r="AB55" s="269">
        <v>0</v>
      </c>
      <c r="AC55" s="270">
        <v>5626.5330000000004</v>
      </c>
      <c r="AD55" s="271">
        <v>2267000</v>
      </c>
      <c r="AE55" s="270">
        <v>4326.8419999999996</v>
      </c>
      <c r="AF55" s="271">
        <v>1459000</v>
      </c>
      <c r="AG55" s="270">
        <v>1184.971</v>
      </c>
      <c r="AH55" s="271">
        <v>113000</v>
      </c>
      <c r="AI55" s="272">
        <f t="shared" si="9"/>
        <v>5626.5330000000004</v>
      </c>
      <c r="AJ55" s="272">
        <f t="shared" si="0"/>
        <v>5511.8130000000001</v>
      </c>
      <c r="AK55" s="273">
        <f t="shared" si="5"/>
        <v>0</v>
      </c>
      <c r="AL55" s="274">
        <f t="shared" si="5"/>
        <v>0</v>
      </c>
      <c r="AM55" s="275">
        <f t="shared" si="1"/>
        <v>3839000</v>
      </c>
      <c r="AN55" s="276">
        <f t="shared" si="6"/>
        <v>3839000</v>
      </c>
      <c r="AO55" s="277">
        <f t="shared" si="2"/>
        <v>3839000</v>
      </c>
      <c r="AP55" s="279">
        <v>5466069.3099999996</v>
      </c>
      <c r="AQ55" s="278">
        <f t="shared" si="7"/>
        <v>0</v>
      </c>
      <c r="AR55" s="279">
        <f>IFERROR((VLOOKUP(B55,#REF!,24,FALSE)*1000),0)</f>
        <v>0</v>
      </c>
      <c r="AS55" s="280"/>
      <c r="AT55" s="334">
        <f t="shared" si="8"/>
        <v>0</v>
      </c>
      <c r="AU55" s="281">
        <f t="shared" si="3"/>
        <v>-1627069.3099999996</v>
      </c>
    </row>
    <row r="56" spans="1:47" ht="15" customHeight="1" x14ac:dyDescent="0.25">
      <c r="A56" s="261">
        <v>53</v>
      </c>
      <c r="B56" s="5">
        <v>391330</v>
      </c>
      <c r="C56" s="6" t="s">
        <v>133</v>
      </c>
      <c r="D56" s="262"/>
      <c r="E56" s="263"/>
      <c r="F56" s="264"/>
      <c r="G56" s="262"/>
      <c r="H56" s="264"/>
      <c r="I56" s="262"/>
      <c r="J56" s="264"/>
      <c r="K56" s="262"/>
      <c r="L56" s="265">
        <f>IFERROR((VLOOKUP($B56,'АПП БАЗ (0)'!$B$8:$X$72,3,FALSE)),0)</f>
        <v>0</v>
      </c>
      <c r="M56" s="266">
        <f>IFERROR((VLOOKUP($B56,'АПП БАЗ (0)'!$B$8:$X$72,4,FALSE)*1000),0)</f>
        <v>0</v>
      </c>
      <c r="N56" s="264"/>
      <c r="O56" s="262"/>
      <c r="P56" s="267">
        <v>0</v>
      </c>
      <c r="Q56" s="265">
        <f>IFERROR((VLOOKUP($B56,'АПП БАЗ (0)'!$B$8:$X$72,10,FALSE)),0)+IFERROR((VLOOKUP($B56,'АПП БАЗ (0)'!$B$8:$X$72,22,FALSE)),0)</f>
        <v>0</v>
      </c>
      <c r="R56" s="266">
        <f>IFERROR((VLOOKUP($B56,'АПП БАЗ (0)'!$B$8:$X$72,11,FALSE)),0)*1000+IFERROR((VLOOKUP($B56,'АПП БАЗ (0)'!$B$8:$X$72,23,FALSE)),0)*1000</f>
        <v>0</v>
      </c>
      <c r="S56" s="264"/>
      <c r="T56" s="262"/>
      <c r="U56" s="268">
        <v>0</v>
      </c>
      <c r="V56" s="269">
        <v>0</v>
      </c>
      <c r="W56" s="268">
        <v>0</v>
      </c>
      <c r="X56" s="269">
        <v>0</v>
      </c>
      <c r="Y56" s="268">
        <v>0</v>
      </c>
      <c r="Z56" s="269">
        <v>0</v>
      </c>
      <c r="AA56" s="268">
        <v>0</v>
      </c>
      <c r="AB56" s="269">
        <v>0</v>
      </c>
      <c r="AC56" s="270">
        <v>3596.3690000000001</v>
      </c>
      <c r="AD56" s="271">
        <v>1033000</v>
      </c>
      <c r="AE56" s="270">
        <v>1971.604</v>
      </c>
      <c r="AF56" s="271">
        <v>1823000</v>
      </c>
      <c r="AG56" s="270">
        <v>1480.604</v>
      </c>
      <c r="AH56" s="271">
        <v>142000</v>
      </c>
      <c r="AI56" s="272">
        <f t="shared" si="9"/>
        <v>3596.3690000000001</v>
      </c>
      <c r="AJ56" s="272">
        <f t="shared" si="0"/>
        <v>3452.2080000000001</v>
      </c>
      <c r="AK56" s="273">
        <f t="shared" si="5"/>
        <v>0</v>
      </c>
      <c r="AL56" s="274">
        <f t="shared" si="5"/>
        <v>0</v>
      </c>
      <c r="AM56" s="275">
        <f t="shared" si="1"/>
        <v>2998000</v>
      </c>
      <c r="AN56" s="276">
        <f t="shared" si="6"/>
        <v>2998000</v>
      </c>
      <c r="AO56" s="277">
        <f t="shared" si="2"/>
        <v>2998000</v>
      </c>
      <c r="AP56" s="279">
        <v>3452202.12</v>
      </c>
      <c r="AQ56" s="278">
        <f t="shared" si="7"/>
        <v>0</v>
      </c>
      <c r="AR56" s="279">
        <f>IFERROR((VLOOKUP(B56,#REF!,24,FALSE)*1000),0)</f>
        <v>0</v>
      </c>
      <c r="AS56" s="280"/>
      <c r="AT56" s="334">
        <f t="shared" si="8"/>
        <v>0</v>
      </c>
      <c r="AU56" s="281">
        <f t="shared" si="3"/>
        <v>-454202.12000000011</v>
      </c>
    </row>
    <row r="57" spans="1:47" ht="15" customHeight="1" x14ac:dyDescent="0.25">
      <c r="A57" s="261">
        <v>54</v>
      </c>
      <c r="B57" s="5">
        <v>392330</v>
      </c>
      <c r="C57" s="6" t="s">
        <v>132</v>
      </c>
      <c r="D57" s="262"/>
      <c r="E57" s="263"/>
      <c r="F57" s="264"/>
      <c r="G57" s="262"/>
      <c r="H57" s="264"/>
      <c r="I57" s="262"/>
      <c r="J57" s="264"/>
      <c r="K57" s="262"/>
      <c r="L57" s="265">
        <f>IFERROR((VLOOKUP($B57,'АПП БАЗ (0)'!$B$8:$X$72,3,FALSE)),0)</f>
        <v>0</v>
      </c>
      <c r="M57" s="266">
        <f>IFERROR((VLOOKUP($B57,'АПП БАЗ (0)'!$B$8:$X$72,4,FALSE)*1000),0)</f>
        <v>0</v>
      </c>
      <c r="N57" s="264"/>
      <c r="O57" s="262"/>
      <c r="P57" s="267">
        <v>0</v>
      </c>
      <c r="Q57" s="265">
        <f>IFERROR((VLOOKUP($B57,'АПП БАЗ (0)'!$B$8:$X$72,10,FALSE)),0)+IFERROR((VLOOKUP($B57,'АПП БАЗ (0)'!$B$8:$X$72,22,FALSE)),0)</f>
        <v>0</v>
      </c>
      <c r="R57" s="266">
        <f>IFERROR((VLOOKUP($B57,'АПП БАЗ (0)'!$B$8:$X$72,11,FALSE)),0)*1000+IFERROR((VLOOKUP($B57,'АПП БАЗ (0)'!$B$8:$X$72,23,FALSE)),0)*1000</f>
        <v>0</v>
      </c>
      <c r="S57" s="264"/>
      <c r="T57" s="262"/>
      <c r="U57" s="268">
        <v>0</v>
      </c>
      <c r="V57" s="269">
        <v>0</v>
      </c>
      <c r="W57" s="268">
        <v>0</v>
      </c>
      <c r="X57" s="269">
        <v>0</v>
      </c>
      <c r="Y57" s="268">
        <v>0</v>
      </c>
      <c r="Z57" s="269">
        <v>0</v>
      </c>
      <c r="AA57" s="268">
        <v>0</v>
      </c>
      <c r="AB57" s="269">
        <v>0</v>
      </c>
      <c r="AC57" s="270">
        <v>3994.2559999999999</v>
      </c>
      <c r="AD57" s="271">
        <v>1582000</v>
      </c>
      <c r="AE57" s="270">
        <v>3019.4369999999999</v>
      </c>
      <c r="AF57" s="271">
        <v>1094000</v>
      </c>
      <c r="AG57" s="270">
        <v>888.52499999999998</v>
      </c>
      <c r="AH57" s="271">
        <v>85000</v>
      </c>
      <c r="AI57" s="272">
        <f t="shared" si="9"/>
        <v>3994.2559999999999</v>
      </c>
      <c r="AJ57" s="272">
        <f t="shared" si="0"/>
        <v>3907.962</v>
      </c>
      <c r="AK57" s="273">
        <f t="shared" si="5"/>
        <v>0</v>
      </c>
      <c r="AL57" s="274">
        <f t="shared" si="5"/>
        <v>0</v>
      </c>
      <c r="AM57" s="275">
        <f t="shared" si="1"/>
        <v>2761000</v>
      </c>
      <c r="AN57" s="276">
        <f t="shared" si="6"/>
        <v>2761000</v>
      </c>
      <c r="AO57" s="277">
        <f t="shared" si="2"/>
        <v>2761000</v>
      </c>
      <c r="AP57" s="279">
        <v>3876882.87</v>
      </c>
      <c r="AQ57" s="278">
        <f t="shared" si="7"/>
        <v>0</v>
      </c>
      <c r="AR57" s="279">
        <f>IFERROR((VLOOKUP(B57,#REF!,24,FALSE)*1000),0)</f>
        <v>0</v>
      </c>
      <c r="AS57" s="280"/>
      <c r="AT57" s="334">
        <f t="shared" si="8"/>
        <v>0</v>
      </c>
      <c r="AU57" s="281">
        <f t="shared" si="3"/>
        <v>-1115882.8700000001</v>
      </c>
    </row>
    <row r="58" spans="1:47" ht="15" customHeight="1" x14ac:dyDescent="0.25">
      <c r="A58" s="261">
        <v>55</v>
      </c>
      <c r="B58" s="5">
        <v>392350</v>
      </c>
      <c r="C58" s="6" t="s">
        <v>131</v>
      </c>
      <c r="D58" s="262"/>
      <c r="E58" s="263"/>
      <c r="F58" s="264"/>
      <c r="G58" s="262"/>
      <c r="H58" s="264"/>
      <c r="I58" s="262"/>
      <c r="J58" s="264"/>
      <c r="K58" s="262"/>
      <c r="L58" s="265">
        <f>IFERROR((VLOOKUP($B58,'АПП БАЗ (0)'!$B$8:$X$72,3,FALSE)),0)</f>
        <v>0</v>
      </c>
      <c r="M58" s="266">
        <f>IFERROR((VLOOKUP($B58,'АПП БАЗ (0)'!$B$8:$X$72,4,FALSE)*1000),0)</f>
        <v>0</v>
      </c>
      <c r="N58" s="264"/>
      <c r="O58" s="262"/>
      <c r="P58" s="267">
        <v>0</v>
      </c>
      <c r="Q58" s="265">
        <f>IFERROR((VLOOKUP($B58,'АПП БАЗ (0)'!$B$8:$X$72,10,FALSE)),0)+IFERROR((VLOOKUP($B58,'АПП БАЗ (0)'!$B$8:$X$72,22,FALSE)),0)</f>
        <v>0</v>
      </c>
      <c r="R58" s="266">
        <f>IFERROR((VLOOKUP($B58,'АПП БАЗ (0)'!$B$8:$X$72,11,FALSE)),0)*1000+IFERROR((VLOOKUP($B58,'АПП БАЗ (0)'!$B$8:$X$72,23,FALSE)),0)*1000</f>
        <v>0</v>
      </c>
      <c r="S58" s="264"/>
      <c r="T58" s="262"/>
      <c r="U58" s="268">
        <v>0</v>
      </c>
      <c r="V58" s="269">
        <v>0</v>
      </c>
      <c r="W58" s="268">
        <v>0</v>
      </c>
      <c r="X58" s="269">
        <v>0</v>
      </c>
      <c r="Y58" s="268">
        <v>0</v>
      </c>
      <c r="Z58" s="269">
        <v>0</v>
      </c>
      <c r="AA58" s="268">
        <v>0</v>
      </c>
      <c r="AB58" s="269">
        <v>0</v>
      </c>
      <c r="AC58" s="270">
        <v>983.67100000000005</v>
      </c>
      <c r="AD58" s="271">
        <v>414000</v>
      </c>
      <c r="AE58" s="270">
        <v>790.16899999999998</v>
      </c>
      <c r="AF58" s="271">
        <v>217000</v>
      </c>
      <c r="AG58" s="270">
        <v>176.24299999999999</v>
      </c>
      <c r="AH58" s="271">
        <v>17000</v>
      </c>
      <c r="AI58" s="272">
        <f t="shared" si="9"/>
        <v>983.67100000000005</v>
      </c>
      <c r="AJ58" s="272">
        <f t="shared" si="0"/>
        <v>966.41200000000003</v>
      </c>
      <c r="AK58" s="273">
        <f t="shared" si="5"/>
        <v>0</v>
      </c>
      <c r="AL58" s="274">
        <f t="shared" si="5"/>
        <v>0</v>
      </c>
      <c r="AM58" s="275">
        <f t="shared" si="1"/>
        <v>648000</v>
      </c>
      <c r="AN58" s="276">
        <f t="shared" si="6"/>
        <v>648000</v>
      </c>
      <c r="AO58" s="277">
        <f t="shared" si="2"/>
        <v>648000</v>
      </c>
      <c r="AP58" s="279">
        <v>958251.23</v>
      </c>
      <c r="AQ58" s="278">
        <f t="shared" si="7"/>
        <v>0</v>
      </c>
      <c r="AR58" s="279">
        <f>IFERROR((VLOOKUP(B58,#REF!,24,FALSE)*1000),0)</f>
        <v>0</v>
      </c>
      <c r="AS58" s="280"/>
      <c r="AT58" s="334">
        <f t="shared" si="8"/>
        <v>0</v>
      </c>
      <c r="AU58" s="281">
        <f t="shared" si="3"/>
        <v>-310251.23</v>
      </c>
    </row>
    <row r="59" spans="1:47" ht="15" customHeight="1" x14ac:dyDescent="0.25">
      <c r="A59" s="261">
        <v>56</v>
      </c>
      <c r="B59" s="5">
        <v>392380</v>
      </c>
      <c r="C59" s="6" t="s">
        <v>130</v>
      </c>
      <c r="D59" s="262"/>
      <c r="E59" s="263"/>
      <c r="F59" s="264"/>
      <c r="G59" s="262"/>
      <c r="H59" s="264"/>
      <c r="I59" s="262"/>
      <c r="J59" s="264"/>
      <c r="K59" s="262"/>
      <c r="L59" s="265">
        <f>IFERROR((VLOOKUP($B59,'АПП БАЗ (0)'!$B$8:$X$72,3,FALSE)),0)</f>
        <v>0</v>
      </c>
      <c r="M59" s="266">
        <f>IFERROR((VLOOKUP($B59,'АПП БАЗ (0)'!$B$8:$X$72,4,FALSE)*1000),0)</f>
        <v>0</v>
      </c>
      <c r="N59" s="264"/>
      <c r="O59" s="262"/>
      <c r="P59" s="267">
        <v>0</v>
      </c>
      <c r="Q59" s="265">
        <f>IFERROR((VLOOKUP($B59,'АПП БАЗ (0)'!$B$8:$X$72,10,FALSE)),0)+IFERROR((VLOOKUP($B59,'АПП БАЗ (0)'!$B$8:$X$72,22,FALSE)),0)</f>
        <v>0</v>
      </c>
      <c r="R59" s="266">
        <f>IFERROR((VLOOKUP($B59,'АПП БАЗ (0)'!$B$8:$X$72,11,FALSE)),0)*1000+IFERROR((VLOOKUP($B59,'АПП БАЗ (0)'!$B$8:$X$72,23,FALSE)),0)*1000</f>
        <v>0</v>
      </c>
      <c r="S59" s="264"/>
      <c r="T59" s="262"/>
      <c r="U59" s="268">
        <v>0</v>
      </c>
      <c r="V59" s="269">
        <v>0</v>
      </c>
      <c r="W59" s="268">
        <v>0</v>
      </c>
      <c r="X59" s="269">
        <v>0</v>
      </c>
      <c r="Y59" s="268">
        <v>0</v>
      </c>
      <c r="Z59" s="269">
        <v>0</v>
      </c>
      <c r="AA59" s="268">
        <v>0</v>
      </c>
      <c r="AB59" s="269">
        <v>0</v>
      </c>
      <c r="AC59" s="270">
        <v>3144.96</v>
      </c>
      <c r="AD59" s="271">
        <v>1195000</v>
      </c>
      <c r="AE59" s="270">
        <v>2280.8009999999999</v>
      </c>
      <c r="AF59" s="271">
        <v>994000</v>
      </c>
      <c r="AG59" s="270">
        <v>807.30700000000002</v>
      </c>
      <c r="AH59" s="271">
        <v>56000</v>
      </c>
      <c r="AI59" s="272">
        <f t="shared" si="9"/>
        <v>3144.96</v>
      </c>
      <c r="AJ59" s="272">
        <f t="shared" si="0"/>
        <v>3088.1080000000002</v>
      </c>
      <c r="AK59" s="273">
        <f t="shared" si="5"/>
        <v>0</v>
      </c>
      <c r="AL59" s="274">
        <f t="shared" si="5"/>
        <v>0</v>
      </c>
      <c r="AM59" s="275">
        <f t="shared" si="1"/>
        <v>2245000</v>
      </c>
      <c r="AN59" s="276">
        <f t="shared" si="6"/>
        <v>2245000</v>
      </c>
      <c r="AO59" s="277">
        <f t="shared" si="2"/>
        <v>2245000</v>
      </c>
      <c r="AP59" s="279">
        <v>2650575.8000000003</v>
      </c>
      <c r="AQ59" s="278">
        <f t="shared" si="7"/>
        <v>0</v>
      </c>
      <c r="AR59" s="279">
        <f>IFERROR((VLOOKUP(B59,#REF!,24,FALSE)*1000),0)</f>
        <v>0</v>
      </c>
      <c r="AS59" s="280"/>
      <c r="AT59" s="334">
        <f t="shared" si="8"/>
        <v>0</v>
      </c>
      <c r="AU59" s="281">
        <f t="shared" si="3"/>
        <v>-405575.80000000028</v>
      </c>
    </row>
    <row r="60" spans="1:47" ht="15" customHeight="1" x14ac:dyDescent="0.25">
      <c r="A60" s="261">
        <v>57</v>
      </c>
      <c r="B60" s="5">
        <v>392610</v>
      </c>
      <c r="C60" s="6" t="s">
        <v>129</v>
      </c>
      <c r="D60" s="262"/>
      <c r="E60" s="263"/>
      <c r="F60" s="264"/>
      <c r="G60" s="262"/>
      <c r="H60" s="264"/>
      <c r="I60" s="262"/>
      <c r="J60" s="264"/>
      <c r="K60" s="262"/>
      <c r="L60" s="265">
        <f>IFERROR((VLOOKUP($B60,'АПП БАЗ (0)'!$B$8:$X$72,3,FALSE)),0)</f>
        <v>0</v>
      </c>
      <c r="M60" s="266">
        <f>IFERROR((VLOOKUP($B60,'АПП БАЗ (0)'!$B$8:$X$72,4,FALSE)*1000),0)</f>
        <v>0</v>
      </c>
      <c r="N60" s="264"/>
      <c r="O60" s="262"/>
      <c r="P60" s="267">
        <v>0</v>
      </c>
      <c r="Q60" s="265">
        <f>IFERROR((VLOOKUP($B60,'АПП БАЗ (0)'!$B$8:$X$72,10,FALSE)),0)+IFERROR((VLOOKUP($B60,'АПП БАЗ (0)'!$B$8:$X$72,22,FALSE)),0)</f>
        <v>0</v>
      </c>
      <c r="R60" s="266">
        <f>IFERROR((VLOOKUP($B60,'АПП БАЗ (0)'!$B$8:$X$72,11,FALSE)),0)*1000+IFERROR((VLOOKUP($B60,'АПП БАЗ (0)'!$B$8:$X$72,23,FALSE)),0)*1000</f>
        <v>0</v>
      </c>
      <c r="S60" s="264"/>
      <c r="T60" s="262"/>
      <c r="U60" s="268">
        <v>0</v>
      </c>
      <c r="V60" s="269">
        <v>0</v>
      </c>
      <c r="W60" s="268">
        <v>0</v>
      </c>
      <c r="X60" s="269">
        <v>0</v>
      </c>
      <c r="Y60" s="268">
        <v>0</v>
      </c>
      <c r="Z60" s="269">
        <v>0</v>
      </c>
      <c r="AA60" s="268">
        <v>0</v>
      </c>
      <c r="AB60" s="269">
        <v>0</v>
      </c>
      <c r="AC60" s="270">
        <v>385.988</v>
      </c>
      <c r="AD60" s="271">
        <v>155000</v>
      </c>
      <c r="AE60" s="270">
        <v>295.83600000000001</v>
      </c>
      <c r="AF60" s="271">
        <v>101000</v>
      </c>
      <c r="AG60" s="270">
        <v>82.03</v>
      </c>
      <c r="AH60" s="271">
        <v>8000</v>
      </c>
      <c r="AI60" s="272">
        <f t="shared" si="9"/>
        <v>385.988</v>
      </c>
      <c r="AJ60" s="272">
        <f t="shared" si="0"/>
        <v>377.86599999999999</v>
      </c>
      <c r="AK60" s="273">
        <f t="shared" si="5"/>
        <v>0</v>
      </c>
      <c r="AL60" s="274">
        <f t="shared" si="5"/>
        <v>0</v>
      </c>
      <c r="AM60" s="275">
        <f t="shared" si="1"/>
        <v>264000</v>
      </c>
      <c r="AN60" s="276">
        <f t="shared" si="6"/>
        <v>264000</v>
      </c>
      <c r="AO60" s="277">
        <f t="shared" si="2"/>
        <v>264000</v>
      </c>
      <c r="AP60" s="279">
        <v>374410</v>
      </c>
      <c r="AQ60" s="278">
        <f t="shared" si="7"/>
        <v>0</v>
      </c>
      <c r="AR60" s="279">
        <f>IFERROR((VLOOKUP(B60,#REF!,24,FALSE)*1000),0)</f>
        <v>0</v>
      </c>
      <c r="AS60" s="280"/>
      <c r="AT60" s="334">
        <f t="shared" si="8"/>
        <v>0</v>
      </c>
      <c r="AU60" s="281">
        <f t="shared" si="3"/>
        <v>-110410</v>
      </c>
    </row>
    <row r="61" spans="1:47" ht="15" customHeight="1" x14ac:dyDescent="0.25">
      <c r="A61" s="261">
        <v>58</v>
      </c>
      <c r="B61" s="5">
        <v>392620</v>
      </c>
      <c r="C61" s="6" t="s">
        <v>128</v>
      </c>
      <c r="D61" s="262"/>
      <c r="E61" s="263"/>
      <c r="F61" s="264"/>
      <c r="G61" s="262"/>
      <c r="H61" s="264"/>
      <c r="I61" s="262"/>
      <c r="J61" s="264"/>
      <c r="K61" s="262"/>
      <c r="L61" s="265">
        <f>IFERROR((VLOOKUP($B61,'АПП БАЗ (0)'!$B$8:$X$72,3,FALSE)),0)</f>
        <v>0</v>
      </c>
      <c r="M61" s="266">
        <f>IFERROR((VLOOKUP($B61,'АПП БАЗ (0)'!$B$8:$X$72,4,FALSE)*1000),0)</f>
        <v>0</v>
      </c>
      <c r="N61" s="264"/>
      <c r="O61" s="262"/>
      <c r="P61" s="267">
        <v>0</v>
      </c>
      <c r="Q61" s="265">
        <f>IFERROR((VLOOKUP($B61,'АПП БАЗ (0)'!$B$8:$X$72,10,FALSE)),0)+IFERROR((VLOOKUP($B61,'АПП БАЗ (0)'!$B$8:$X$72,22,FALSE)),0)</f>
        <v>0</v>
      </c>
      <c r="R61" s="266">
        <f>IFERROR((VLOOKUP($B61,'АПП БАЗ (0)'!$B$8:$X$72,11,FALSE)),0)*1000+IFERROR((VLOOKUP($B61,'АПП БАЗ (0)'!$B$8:$X$72,23,FALSE)),0)*1000</f>
        <v>0</v>
      </c>
      <c r="S61" s="264"/>
      <c r="T61" s="262"/>
      <c r="U61" s="268">
        <v>0</v>
      </c>
      <c r="V61" s="269">
        <v>0</v>
      </c>
      <c r="W61" s="268">
        <v>0</v>
      </c>
      <c r="X61" s="269">
        <v>0</v>
      </c>
      <c r="Y61" s="268">
        <v>0</v>
      </c>
      <c r="Z61" s="269">
        <v>0</v>
      </c>
      <c r="AA61" s="268">
        <v>0</v>
      </c>
      <c r="AB61" s="269">
        <v>0</v>
      </c>
      <c r="AC61" s="270">
        <v>527.83500000000004</v>
      </c>
      <c r="AD61" s="271">
        <v>209000</v>
      </c>
      <c r="AE61" s="270">
        <v>398.90199999999999</v>
      </c>
      <c r="AF61" s="271">
        <v>145000</v>
      </c>
      <c r="AG61" s="270">
        <v>117.76600000000001</v>
      </c>
      <c r="AH61" s="271">
        <v>11000</v>
      </c>
      <c r="AI61" s="272">
        <f t="shared" si="9"/>
        <v>527.83500000000004</v>
      </c>
      <c r="AJ61" s="272">
        <f t="shared" si="0"/>
        <v>516.66800000000001</v>
      </c>
      <c r="AK61" s="273">
        <f t="shared" si="5"/>
        <v>0</v>
      </c>
      <c r="AL61" s="274">
        <f t="shared" si="5"/>
        <v>0</v>
      </c>
      <c r="AM61" s="275">
        <f t="shared" si="1"/>
        <v>365000</v>
      </c>
      <c r="AN61" s="276">
        <f t="shared" si="6"/>
        <v>365000</v>
      </c>
      <c r="AO61" s="277">
        <f t="shared" si="2"/>
        <v>365000</v>
      </c>
      <c r="AP61" s="279">
        <v>512426.29</v>
      </c>
      <c r="AQ61" s="278">
        <f t="shared" si="7"/>
        <v>0</v>
      </c>
      <c r="AR61" s="279">
        <f>IFERROR((VLOOKUP(B61,#REF!,24,FALSE)*1000),0)</f>
        <v>0</v>
      </c>
      <c r="AS61" s="280"/>
      <c r="AT61" s="334">
        <f t="shared" si="8"/>
        <v>0</v>
      </c>
      <c r="AU61" s="281">
        <f t="shared" si="3"/>
        <v>-147426.28999999998</v>
      </c>
    </row>
    <row r="62" spans="1:47" ht="15" customHeight="1" x14ac:dyDescent="0.25">
      <c r="A62" s="261">
        <v>59</v>
      </c>
      <c r="B62" s="5">
        <v>390009</v>
      </c>
      <c r="C62" s="6" t="s">
        <v>209</v>
      </c>
      <c r="D62" s="262"/>
      <c r="E62" s="263"/>
      <c r="F62" s="264"/>
      <c r="G62" s="262"/>
      <c r="H62" s="264"/>
      <c r="I62" s="262"/>
      <c r="J62" s="264"/>
      <c r="K62" s="262"/>
      <c r="L62" s="265">
        <f>IFERROR((VLOOKUP($B62,'АПП БАЗ (0)'!$B$8:$X$72,3,FALSE)),0)</f>
        <v>0</v>
      </c>
      <c r="M62" s="266">
        <f>IFERROR((VLOOKUP($B62,'АПП БАЗ (0)'!$B$8:$X$72,4,FALSE)*1000),0)</f>
        <v>0</v>
      </c>
      <c r="N62" s="264"/>
      <c r="O62" s="262"/>
      <c r="P62" s="267">
        <v>0</v>
      </c>
      <c r="Q62" s="265">
        <f>IFERROR((VLOOKUP($B62,'АПП БАЗ (0)'!$B$8:$X$72,10,FALSE)),0)+IFERROR((VLOOKUP($B62,'АПП БАЗ (0)'!$B$8:$X$72,22,FALSE)),0)</f>
        <v>0</v>
      </c>
      <c r="R62" s="266">
        <f>IFERROR((VLOOKUP($B62,'АПП БАЗ (0)'!$B$8:$X$72,11,FALSE)),0)*1000+IFERROR((VLOOKUP($B62,'АПП БАЗ (0)'!$B$8:$X$72,23,FALSE)),0)*1000</f>
        <v>0</v>
      </c>
      <c r="S62" s="264"/>
      <c r="T62" s="262"/>
      <c r="U62" s="268">
        <v>0</v>
      </c>
      <c r="V62" s="269">
        <v>0</v>
      </c>
      <c r="W62" s="268">
        <v>0</v>
      </c>
      <c r="X62" s="269">
        <v>0</v>
      </c>
      <c r="Y62" s="268">
        <v>0</v>
      </c>
      <c r="Z62" s="269">
        <v>0</v>
      </c>
      <c r="AA62" s="268">
        <v>0</v>
      </c>
      <c r="AB62" s="269">
        <v>0</v>
      </c>
      <c r="AC62" s="270">
        <v>374.536</v>
      </c>
      <c r="AD62" s="271">
        <v>149000</v>
      </c>
      <c r="AE62" s="270">
        <v>284.38400000000001</v>
      </c>
      <c r="AF62" s="271">
        <v>101000</v>
      </c>
      <c r="AG62" s="270">
        <v>82.03</v>
      </c>
      <c r="AH62" s="271">
        <v>8000</v>
      </c>
      <c r="AI62" s="272">
        <f t="shared" si="9"/>
        <v>374.536</v>
      </c>
      <c r="AJ62" s="272">
        <f t="shared" si="0"/>
        <v>366.41399999999999</v>
      </c>
      <c r="AK62" s="273">
        <f t="shared" si="5"/>
        <v>0</v>
      </c>
      <c r="AL62" s="274">
        <f t="shared" si="5"/>
        <v>0</v>
      </c>
      <c r="AM62" s="275">
        <f t="shared" si="1"/>
        <v>258000</v>
      </c>
      <c r="AN62" s="276">
        <f t="shared" si="6"/>
        <v>258000</v>
      </c>
      <c r="AO62" s="277">
        <f t="shared" si="2"/>
        <v>258000</v>
      </c>
      <c r="AP62" s="279">
        <v>374410</v>
      </c>
      <c r="AQ62" s="278">
        <f t="shared" si="7"/>
        <v>0</v>
      </c>
      <c r="AR62" s="279">
        <f>IFERROR((VLOOKUP(B62,#REF!,24,FALSE)*1000),0)</f>
        <v>0</v>
      </c>
      <c r="AS62" s="280"/>
      <c r="AT62" s="334">
        <f t="shared" si="8"/>
        <v>0</v>
      </c>
      <c r="AU62" s="281">
        <f t="shared" si="3"/>
        <v>-116410</v>
      </c>
    </row>
    <row r="63" spans="1:47" s="289" customFormat="1" ht="15" customHeight="1" x14ac:dyDescent="0.25">
      <c r="A63" s="261">
        <v>60</v>
      </c>
      <c r="B63" s="216">
        <v>390782</v>
      </c>
      <c r="C63" s="160" t="s">
        <v>193</v>
      </c>
      <c r="D63" s="287"/>
      <c r="E63" s="287"/>
      <c r="F63" s="288"/>
      <c r="G63" s="287"/>
      <c r="H63" s="288"/>
      <c r="I63" s="287"/>
      <c r="J63" s="288"/>
      <c r="K63" s="287"/>
      <c r="L63" s="265"/>
      <c r="M63" s="266"/>
      <c r="N63" s="288">
        <f>IFERROR((VLOOKUP($B63,'АПП БАЗ (0)'!$B$8:$X$72,3,FALSE)),0)</f>
        <v>829</v>
      </c>
      <c r="O63" s="287">
        <v>71417904</v>
      </c>
      <c r="P63" s="267">
        <v>0</v>
      </c>
      <c r="Q63" s="265">
        <f>IFERROR((VLOOKUP($B63,'АПП БАЗ (0)'!$B$8:$X$72,10,FALSE)),0)+IFERROR((VLOOKUP($B63,'АПП БАЗ (0)'!$B$8:$X$72,22,FALSE)),0)</f>
        <v>0</v>
      </c>
      <c r="R63" s="266">
        <f>IFERROR((VLOOKUP($B63,'АПП БАЗ (0)'!$B$8:$X$72,11,FALSE)),0)*1000+IFERROR((VLOOKUP($B63,'АПП БАЗ (0)'!$B$8:$X$72,23,FALSE)),0)*1000</f>
        <v>0</v>
      </c>
      <c r="S63" s="288"/>
      <c r="T63" s="287"/>
      <c r="U63" s="268">
        <v>0</v>
      </c>
      <c r="V63" s="269">
        <v>0</v>
      </c>
      <c r="W63" s="268">
        <v>0</v>
      </c>
      <c r="X63" s="269">
        <v>0</v>
      </c>
      <c r="Y63" s="268">
        <v>0</v>
      </c>
      <c r="Z63" s="269">
        <v>0</v>
      </c>
      <c r="AA63" s="268">
        <v>0</v>
      </c>
      <c r="AB63" s="269">
        <v>0</v>
      </c>
      <c r="AC63" s="284"/>
      <c r="AD63" s="285"/>
      <c r="AE63" s="284"/>
      <c r="AF63" s="285"/>
      <c r="AG63" s="284"/>
      <c r="AH63" s="285"/>
      <c r="AI63" s="272">
        <f t="shared" si="4"/>
        <v>829</v>
      </c>
      <c r="AJ63" s="272">
        <f t="shared" si="0"/>
        <v>0</v>
      </c>
      <c r="AK63" s="273">
        <f t="shared" si="5"/>
        <v>0</v>
      </c>
      <c r="AL63" s="274">
        <f t="shared" si="5"/>
        <v>0</v>
      </c>
      <c r="AM63" s="275">
        <f t="shared" si="1"/>
        <v>71417904</v>
      </c>
      <c r="AN63" s="276">
        <f t="shared" si="6"/>
        <v>71417904</v>
      </c>
      <c r="AO63" s="277">
        <f t="shared" si="2"/>
        <v>71417904</v>
      </c>
      <c r="AP63" s="279">
        <v>71417904</v>
      </c>
      <c r="AQ63" s="278">
        <f t="shared" si="7"/>
        <v>71417904</v>
      </c>
      <c r="AR63" s="279">
        <f>IFERROR((VLOOKUP(B63,#REF!,24,FALSE)*1000),0)</f>
        <v>0</v>
      </c>
      <c r="AS63" s="290"/>
      <c r="AT63" s="334">
        <f t="shared" si="8"/>
        <v>71417904</v>
      </c>
      <c r="AU63" s="281">
        <f t="shared" si="3"/>
        <v>0</v>
      </c>
    </row>
    <row r="64" spans="1:47" s="289" customFormat="1" ht="15" customHeight="1" x14ac:dyDescent="0.25">
      <c r="A64" s="261">
        <v>61</v>
      </c>
      <c r="B64" s="216">
        <v>392080</v>
      </c>
      <c r="C64" s="160" t="s">
        <v>194</v>
      </c>
      <c r="D64" s="287"/>
      <c r="E64" s="287"/>
      <c r="F64" s="288"/>
      <c r="G64" s="287"/>
      <c r="H64" s="288"/>
      <c r="I64" s="287"/>
      <c r="J64" s="288"/>
      <c r="K64" s="287"/>
      <c r="L64" s="265"/>
      <c r="M64" s="266"/>
      <c r="N64" s="288">
        <f>IFERROR((VLOOKUP($B64,'АПП БАЗ (0)'!$B$8:$X$72,3,FALSE)),0)</f>
        <v>431</v>
      </c>
      <c r="O64" s="287">
        <v>43053226.920000002</v>
      </c>
      <c r="P64" s="267">
        <v>0</v>
      </c>
      <c r="Q64" s="265">
        <f>IFERROR((VLOOKUP($B64,'АПП БАЗ (0)'!$B$8:$X$72,10,FALSE)),0)+IFERROR((VLOOKUP($B64,'АПП БАЗ (0)'!$B$8:$X$72,22,FALSE)),0)</f>
        <v>0</v>
      </c>
      <c r="R64" s="266">
        <f>IFERROR((VLOOKUP($B64,'АПП БАЗ (0)'!$B$8:$X$72,11,FALSE)),0)*1000+IFERROR((VLOOKUP($B64,'АПП БАЗ (0)'!$B$8:$X$72,23,FALSE)),0)*1000</f>
        <v>0</v>
      </c>
      <c r="S64" s="288"/>
      <c r="T64" s="287"/>
      <c r="U64" s="268">
        <v>0</v>
      </c>
      <c r="V64" s="269">
        <v>0</v>
      </c>
      <c r="W64" s="268">
        <v>0</v>
      </c>
      <c r="X64" s="269">
        <v>0</v>
      </c>
      <c r="Y64" s="268">
        <v>0</v>
      </c>
      <c r="Z64" s="269">
        <v>0</v>
      </c>
      <c r="AA64" s="268">
        <v>0</v>
      </c>
      <c r="AB64" s="269">
        <v>0</v>
      </c>
      <c r="AC64" s="284"/>
      <c r="AD64" s="285"/>
      <c r="AE64" s="284"/>
      <c r="AF64" s="285"/>
      <c r="AG64" s="284"/>
      <c r="AH64" s="285"/>
      <c r="AI64" s="272">
        <f t="shared" si="4"/>
        <v>431</v>
      </c>
      <c r="AJ64" s="272">
        <f t="shared" si="0"/>
        <v>0</v>
      </c>
      <c r="AK64" s="273">
        <f t="shared" si="5"/>
        <v>0</v>
      </c>
      <c r="AL64" s="274">
        <f t="shared" si="5"/>
        <v>0</v>
      </c>
      <c r="AM64" s="275">
        <f t="shared" si="1"/>
        <v>43053226.920000002</v>
      </c>
      <c r="AN64" s="276">
        <f t="shared" si="6"/>
        <v>43053226.920000002</v>
      </c>
      <c r="AO64" s="277">
        <f t="shared" si="2"/>
        <v>43053226.920000002</v>
      </c>
      <c r="AP64" s="279">
        <v>43053226.920000002</v>
      </c>
      <c r="AQ64" s="278">
        <f t="shared" si="7"/>
        <v>43053226.920000002</v>
      </c>
      <c r="AR64" s="279">
        <f>IFERROR((VLOOKUP(B64,#REF!,24,FALSE)*1000),0)</f>
        <v>0</v>
      </c>
      <c r="AS64" s="290"/>
      <c r="AT64" s="334">
        <f t="shared" si="8"/>
        <v>43053226.920000002</v>
      </c>
      <c r="AU64" s="281">
        <f t="shared" si="3"/>
        <v>0</v>
      </c>
    </row>
    <row r="65" spans="1:47" s="289" customFormat="1" ht="15" customHeight="1" x14ac:dyDescent="0.25">
      <c r="A65" s="261">
        <v>62</v>
      </c>
      <c r="B65" s="216">
        <v>392160</v>
      </c>
      <c r="C65" s="160" t="s">
        <v>195</v>
      </c>
      <c r="D65" s="287"/>
      <c r="E65" s="287"/>
      <c r="F65" s="288"/>
      <c r="G65" s="287"/>
      <c r="H65" s="288"/>
      <c r="I65" s="287"/>
      <c r="J65" s="288"/>
      <c r="K65" s="287"/>
      <c r="L65" s="265"/>
      <c r="M65" s="266"/>
      <c r="N65" s="288">
        <f>IFERROR((VLOOKUP($B65,'АПП БАЗ (0)'!$B$8:$X$72,3,FALSE)),0)</f>
        <v>2829</v>
      </c>
      <c r="O65" s="287">
        <v>249040823.31</v>
      </c>
      <c r="P65" s="267">
        <v>0</v>
      </c>
      <c r="Q65" s="265">
        <f>IFERROR((VLOOKUP($B65,'АПП БАЗ (0)'!$B$8:$X$72,10,FALSE)),0)+IFERROR((VLOOKUP($B65,'АПП БАЗ (0)'!$B$8:$X$72,22,FALSE)),0)</f>
        <v>0</v>
      </c>
      <c r="R65" s="266">
        <f>IFERROR((VLOOKUP($B65,'АПП БАЗ (0)'!$B$8:$X$72,11,FALSE)),0)*1000+IFERROR((VLOOKUP($B65,'АПП БАЗ (0)'!$B$8:$X$72,23,FALSE)),0)*1000</f>
        <v>0</v>
      </c>
      <c r="S65" s="288"/>
      <c r="T65" s="287"/>
      <c r="U65" s="268">
        <v>0</v>
      </c>
      <c r="V65" s="269">
        <v>0</v>
      </c>
      <c r="W65" s="268">
        <v>0</v>
      </c>
      <c r="X65" s="269">
        <v>0</v>
      </c>
      <c r="Y65" s="268">
        <v>0</v>
      </c>
      <c r="Z65" s="269">
        <v>0</v>
      </c>
      <c r="AA65" s="268">
        <v>0</v>
      </c>
      <c r="AB65" s="269">
        <v>0</v>
      </c>
      <c r="AC65" s="284"/>
      <c r="AD65" s="285"/>
      <c r="AE65" s="284"/>
      <c r="AF65" s="285"/>
      <c r="AG65" s="284"/>
      <c r="AH65" s="285"/>
      <c r="AI65" s="272">
        <f t="shared" si="4"/>
        <v>2829</v>
      </c>
      <c r="AJ65" s="272">
        <f t="shared" si="0"/>
        <v>0</v>
      </c>
      <c r="AK65" s="273">
        <f t="shared" si="5"/>
        <v>0</v>
      </c>
      <c r="AL65" s="274">
        <f t="shared" si="5"/>
        <v>0</v>
      </c>
      <c r="AM65" s="275">
        <f t="shared" si="1"/>
        <v>249040823.31</v>
      </c>
      <c r="AN65" s="276">
        <f t="shared" si="6"/>
        <v>249040823.31</v>
      </c>
      <c r="AO65" s="277">
        <f t="shared" si="2"/>
        <v>249040823.31</v>
      </c>
      <c r="AP65" s="279">
        <v>249040823.31</v>
      </c>
      <c r="AQ65" s="278">
        <f t="shared" si="7"/>
        <v>249040823.31</v>
      </c>
      <c r="AR65" s="279">
        <f>IFERROR((VLOOKUP(B65,#REF!,24,FALSE)*1000),0)</f>
        <v>0</v>
      </c>
      <c r="AS65" s="290"/>
      <c r="AT65" s="334">
        <f t="shared" si="8"/>
        <v>249040823.31</v>
      </c>
      <c r="AU65" s="281">
        <f t="shared" si="3"/>
        <v>0</v>
      </c>
    </row>
    <row r="66" spans="1:47" ht="15" customHeight="1" x14ac:dyDescent="0.25">
      <c r="A66" s="261">
        <v>63</v>
      </c>
      <c r="B66" s="5">
        <v>392400</v>
      </c>
      <c r="C66" s="6" t="s">
        <v>51</v>
      </c>
      <c r="D66" s="262"/>
      <c r="E66" s="263"/>
      <c r="F66" s="264"/>
      <c r="G66" s="262"/>
      <c r="H66" s="264"/>
      <c r="I66" s="262"/>
      <c r="J66" s="264"/>
      <c r="K66" s="262"/>
      <c r="L66" s="265">
        <f>IFERROR((VLOOKUP($B66,'АПП БАЗ (0)'!$B$8:$X$72,3,FALSE)),0)</f>
        <v>900</v>
      </c>
      <c r="M66" s="266">
        <f>IFERROR((VLOOKUP($B66,'АПП БАЗ (0)'!$B$8:$X$72,4,FALSE)*1000),0)</f>
        <v>1191861</v>
      </c>
      <c r="N66" s="264"/>
      <c r="O66" s="262"/>
      <c r="P66" s="267">
        <v>0</v>
      </c>
      <c r="Q66" s="265">
        <f>IFERROR((VLOOKUP($B66,'АПП БАЗ (0)'!$B$8:$X$72,10,FALSE)),0)+IFERROR((VLOOKUP($B66,'АПП БАЗ (0)'!$B$8:$X$72,22,FALSE)),0)</f>
        <v>30</v>
      </c>
      <c r="R66" s="266">
        <f>IFERROR((VLOOKUP($B66,'АПП БАЗ (0)'!$B$8:$X$72,11,FALSE)),0)*1000+IFERROR((VLOOKUP($B66,'АПП БАЗ (0)'!$B$8:$X$72,23,FALSE)),0)*1000</f>
        <v>9444.9</v>
      </c>
      <c r="S66" s="264"/>
      <c r="T66" s="262"/>
      <c r="U66" s="268">
        <v>0</v>
      </c>
      <c r="V66" s="269">
        <v>0</v>
      </c>
      <c r="W66" s="268">
        <v>0</v>
      </c>
      <c r="X66" s="269">
        <v>0</v>
      </c>
      <c r="Y66" s="268">
        <v>0</v>
      </c>
      <c r="Z66" s="269">
        <v>0</v>
      </c>
      <c r="AA66" s="268">
        <v>0</v>
      </c>
      <c r="AB66" s="269">
        <v>0</v>
      </c>
      <c r="AC66" s="284"/>
      <c r="AD66" s="285"/>
      <c r="AE66" s="284"/>
      <c r="AF66" s="285"/>
      <c r="AG66" s="284"/>
      <c r="AH66" s="285"/>
      <c r="AI66" s="272">
        <f t="shared" si="4"/>
        <v>900</v>
      </c>
      <c r="AJ66" s="272">
        <f t="shared" si="0"/>
        <v>30</v>
      </c>
      <c r="AK66" s="273">
        <f t="shared" si="5"/>
        <v>0</v>
      </c>
      <c r="AL66" s="274">
        <f t="shared" si="5"/>
        <v>0</v>
      </c>
      <c r="AM66" s="275">
        <f t="shared" si="1"/>
        <v>1201305.8999999999</v>
      </c>
      <c r="AN66" s="276">
        <f t="shared" si="6"/>
        <v>1201305.8999999999</v>
      </c>
      <c r="AO66" s="277">
        <f t="shared" si="2"/>
        <v>1201305.8999999999</v>
      </c>
      <c r="AP66" s="279">
        <v>1201305.8999999999</v>
      </c>
      <c r="AQ66" s="278">
        <f t="shared" si="7"/>
        <v>1201305.8999999999</v>
      </c>
      <c r="AR66" s="279">
        <f>IFERROR((VLOOKUP(B66,#REF!,24,FALSE)*1000),0)</f>
        <v>0</v>
      </c>
      <c r="AS66" s="280"/>
      <c r="AT66" s="334">
        <f t="shared" si="8"/>
        <v>1201305.8999999999</v>
      </c>
      <c r="AU66" s="281">
        <f t="shared" si="3"/>
        <v>0</v>
      </c>
    </row>
    <row r="67" spans="1:47" ht="15" customHeight="1" x14ac:dyDescent="0.25">
      <c r="A67" s="261">
        <v>64</v>
      </c>
      <c r="B67" s="5">
        <v>391492</v>
      </c>
      <c r="C67" s="6" t="s">
        <v>196</v>
      </c>
      <c r="D67" s="262"/>
      <c r="E67" s="263"/>
      <c r="F67" s="264"/>
      <c r="G67" s="262"/>
      <c r="H67" s="264"/>
      <c r="I67" s="262"/>
      <c r="J67" s="264"/>
      <c r="K67" s="262"/>
      <c r="L67" s="265">
        <f>IFERROR((VLOOKUP($B67,'АПП БАЗ (0)'!$B$8:$X$72,3,FALSE)),0)</f>
        <v>0</v>
      </c>
      <c r="M67" s="266">
        <f>IFERROR((VLOOKUP($B67,'АПП БАЗ (0)'!$B$8:$X$72,4,FALSE)*1000),0)-P67</f>
        <v>1087200</v>
      </c>
      <c r="N67" s="264"/>
      <c r="O67" s="262"/>
      <c r="P67" s="267">
        <v>0</v>
      </c>
      <c r="Q67" s="265">
        <f>IFERROR((VLOOKUP($B67,'АПП БАЗ (0)'!$B$8:$X$72,10,FALSE)),0)+IFERROR((VLOOKUP($B67,'АПП БАЗ (0)'!$B$8:$X$72,22,FALSE)),0)</f>
        <v>0</v>
      </c>
      <c r="R67" s="266">
        <f>IFERROR((VLOOKUP($B67,'АПП БАЗ (0)'!$B$8:$X$72,11,FALSE)),0)*1000+IFERROR((VLOOKUP($B67,'АПП БАЗ (0)'!$B$8:$X$72,23,FALSE)),0)*1000</f>
        <v>0</v>
      </c>
      <c r="S67" s="264"/>
      <c r="T67" s="262"/>
      <c r="U67" s="268">
        <v>0</v>
      </c>
      <c r="V67" s="269">
        <v>0</v>
      </c>
      <c r="W67" s="268">
        <v>0</v>
      </c>
      <c r="X67" s="269">
        <v>0</v>
      </c>
      <c r="Y67" s="268">
        <v>0</v>
      </c>
      <c r="Z67" s="269">
        <v>0</v>
      </c>
      <c r="AA67" s="268">
        <v>0</v>
      </c>
      <c r="AB67" s="269">
        <v>0</v>
      </c>
      <c r="AC67" s="284"/>
      <c r="AD67" s="285"/>
      <c r="AE67" s="284"/>
      <c r="AF67" s="285"/>
      <c r="AG67" s="284"/>
      <c r="AH67" s="285"/>
      <c r="AI67" s="272">
        <f t="shared" si="4"/>
        <v>0</v>
      </c>
      <c r="AJ67" s="272">
        <f t="shared" si="0"/>
        <v>0</v>
      </c>
      <c r="AK67" s="273">
        <f t="shared" si="5"/>
        <v>0</v>
      </c>
      <c r="AL67" s="274">
        <f t="shared" si="5"/>
        <v>0</v>
      </c>
      <c r="AM67" s="275">
        <f t="shared" si="1"/>
        <v>1087200</v>
      </c>
      <c r="AN67" s="276">
        <f t="shared" si="6"/>
        <v>1087200</v>
      </c>
      <c r="AO67" s="277">
        <f t="shared" si="2"/>
        <v>1087200</v>
      </c>
      <c r="AP67" s="279">
        <v>1087200</v>
      </c>
      <c r="AQ67" s="278">
        <f t="shared" si="7"/>
        <v>1087200</v>
      </c>
      <c r="AR67" s="279">
        <f>IFERROR((VLOOKUP(B67,#REF!,24,FALSE)*1000),0)</f>
        <v>0</v>
      </c>
      <c r="AS67" s="280"/>
      <c r="AT67" s="334">
        <f t="shared" si="8"/>
        <v>1087200</v>
      </c>
      <c r="AU67" s="281">
        <f t="shared" si="3"/>
        <v>0</v>
      </c>
    </row>
    <row r="68" spans="1:47" ht="15" customHeight="1" x14ac:dyDescent="0.25">
      <c r="A68" s="261">
        <v>65</v>
      </c>
      <c r="B68" s="5">
        <v>392320</v>
      </c>
      <c r="C68" s="6" t="s">
        <v>52</v>
      </c>
      <c r="D68" s="262"/>
      <c r="E68" s="263"/>
      <c r="F68" s="264"/>
      <c r="G68" s="262"/>
      <c r="H68" s="264"/>
      <c r="I68" s="262"/>
      <c r="J68" s="264"/>
      <c r="K68" s="262"/>
      <c r="L68" s="265">
        <f>IFERROR((VLOOKUP($B68,'АПП БАЗ (0)'!$B$8:$X$72,3,FALSE)),0)</f>
        <v>750</v>
      </c>
      <c r="M68" s="266">
        <f>IFERROR((VLOOKUP($B68,'АПП БАЗ (0)'!$B$8:$X$72,4,FALSE)*1000),0)</f>
        <v>993217.5</v>
      </c>
      <c r="N68" s="264"/>
      <c r="O68" s="262"/>
      <c r="P68" s="267">
        <v>0</v>
      </c>
      <c r="Q68" s="265">
        <f>IFERROR((VLOOKUP($B68,'АПП БАЗ (0)'!$B$8:$X$72,10,FALSE)),0)+IFERROR((VLOOKUP($B68,'АПП БАЗ (0)'!$B$8:$X$72,22,FALSE)),0)</f>
        <v>0</v>
      </c>
      <c r="R68" s="266">
        <f>IFERROR((VLOOKUP($B68,'АПП БАЗ (0)'!$B$8:$X$72,11,FALSE)),0)*1000+IFERROR((VLOOKUP($B68,'АПП БАЗ (0)'!$B$8:$X$72,23,FALSE)),0)*1000</f>
        <v>0</v>
      </c>
      <c r="S68" s="264"/>
      <c r="T68" s="262"/>
      <c r="U68" s="268">
        <v>0</v>
      </c>
      <c r="V68" s="269">
        <v>0</v>
      </c>
      <c r="W68" s="268">
        <v>0</v>
      </c>
      <c r="X68" s="269">
        <v>0</v>
      </c>
      <c r="Y68" s="268">
        <v>0</v>
      </c>
      <c r="Z68" s="269">
        <v>0</v>
      </c>
      <c r="AA68" s="268">
        <v>0</v>
      </c>
      <c r="AB68" s="269">
        <v>0</v>
      </c>
      <c r="AC68" s="284"/>
      <c r="AD68" s="285"/>
      <c r="AE68" s="284"/>
      <c r="AF68" s="285"/>
      <c r="AG68" s="284"/>
      <c r="AH68" s="285"/>
      <c r="AI68" s="272">
        <f t="shared" si="4"/>
        <v>750</v>
      </c>
      <c r="AJ68" s="272">
        <f t="shared" ref="AJ68:AJ88" si="10">Q68+S68+U68+W68+Y68+AA68+AE68+AG68</f>
        <v>0</v>
      </c>
      <c r="AK68" s="273">
        <f t="shared" si="5"/>
        <v>0</v>
      </c>
      <c r="AL68" s="274">
        <f t="shared" si="5"/>
        <v>0</v>
      </c>
      <c r="AM68" s="275">
        <f t="shared" ref="AM68:AM88" si="11">R68+M68+O68+P68+T68+V68+X68+Z68+AB68+AD68+AF68+AH68</f>
        <v>993217.5</v>
      </c>
      <c r="AN68" s="276">
        <f t="shared" si="6"/>
        <v>993217.5</v>
      </c>
      <c r="AO68" s="277">
        <f t="shared" ref="AO68:AO88" si="12">AM68-P68</f>
        <v>993217.5</v>
      </c>
      <c r="AP68" s="279">
        <v>993217.5</v>
      </c>
      <c r="AQ68" s="278">
        <f t="shared" si="7"/>
        <v>993217.5</v>
      </c>
      <c r="AR68" s="279">
        <f>IFERROR((VLOOKUP(B68,#REF!,24,FALSE)*1000),0)</f>
        <v>0</v>
      </c>
      <c r="AS68" s="280"/>
      <c r="AT68" s="334">
        <f t="shared" si="8"/>
        <v>993217.5</v>
      </c>
      <c r="AU68" s="281">
        <f t="shared" ref="AU68:AU88" si="13">AN68-AP68</f>
        <v>0</v>
      </c>
    </row>
    <row r="69" spans="1:47" ht="15" customHeight="1" x14ac:dyDescent="0.25">
      <c r="A69" s="261">
        <v>66</v>
      </c>
      <c r="B69" s="5">
        <v>391310</v>
      </c>
      <c r="C69" s="6" t="s">
        <v>53</v>
      </c>
      <c r="D69" s="262"/>
      <c r="E69" s="263"/>
      <c r="F69" s="264"/>
      <c r="G69" s="262"/>
      <c r="H69" s="264"/>
      <c r="I69" s="262"/>
      <c r="J69" s="264"/>
      <c r="K69" s="262"/>
      <c r="L69" s="265">
        <f>IFERROR((VLOOKUP($B69,'АПП БАЗ (0)'!$B$8:$X$72,3,FALSE)),0)</f>
        <v>100</v>
      </c>
      <c r="M69" s="266">
        <f>IFERROR((VLOOKUP($B69,'АПП БАЗ (0)'!$B$8:$X$72,4,FALSE)*1000),0)</f>
        <v>132429</v>
      </c>
      <c r="N69" s="264"/>
      <c r="O69" s="262"/>
      <c r="P69" s="267">
        <v>0</v>
      </c>
      <c r="Q69" s="265">
        <f>IFERROR((VLOOKUP($B69,'АПП БАЗ (0)'!$B$8:$X$72,10,FALSE)),0)+IFERROR((VLOOKUP($B69,'АПП БАЗ (0)'!$B$8:$X$72,22,FALSE)),0)</f>
        <v>1000</v>
      </c>
      <c r="R69" s="266">
        <f>IFERROR((VLOOKUP($B69,'АПП БАЗ (0)'!$B$8:$X$72,11,FALSE)),0)*1000+IFERROR((VLOOKUP($B69,'АПП БАЗ (0)'!$B$8:$X$72,23,FALSE)),0)*1000</f>
        <v>314830</v>
      </c>
      <c r="S69" s="264"/>
      <c r="T69" s="262"/>
      <c r="U69" s="268">
        <v>0</v>
      </c>
      <c r="V69" s="269">
        <v>0</v>
      </c>
      <c r="W69" s="268">
        <v>0</v>
      </c>
      <c r="X69" s="269">
        <v>0</v>
      </c>
      <c r="Y69" s="268">
        <v>0</v>
      </c>
      <c r="Z69" s="269">
        <v>0</v>
      </c>
      <c r="AA69" s="268">
        <v>0</v>
      </c>
      <c r="AB69" s="269">
        <v>0</v>
      </c>
      <c r="AC69" s="284"/>
      <c r="AD69" s="285"/>
      <c r="AE69" s="284"/>
      <c r="AF69" s="285"/>
      <c r="AG69" s="284"/>
      <c r="AH69" s="285"/>
      <c r="AI69" s="272">
        <f t="shared" ref="AI69:AI88" si="14">L69+N69</f>
        <v>100</v>
      </c>
      <c r="AJ69" s="272">
        <f t="shared" si="10"/>
        <v>1000</v>
      </c>
      <c r="AK69" s="273">
        <f t="shared" ref="AK69:AL88" si="15">U69+Y69+AA69</f>
        <v>0</v>
      </c>
      <c r="AL69" s="274">
        <f t="shared" si="15"/>
        <v>0</v>
      </c>
      <c r="AM69" s="275">
        <f t="shared" si="11"/>
        <v>447259</v>
      </c>
      <c r="AN69" s="276">
        <f t="shared" ref="AN69:AN88" si="16">D69+E69+AM69</f>
        <v>447259</v>
      </c>
      <c r="AO69" s="277">
        <f t="shared" si="12"/>
        <v>447259</v>
      </c>
      <c r="AP69" s="279">
        <v>447259</v>
      </c>
      <c r="AQ69" s="278">
        <f t="shared" ref="AQ69:AQ88" si="17">AN69-AH69-AF69-AD69</f>
        <v>447259</v>
      </c>
      <c r="AR69" s="279">
        <f>IFERROR((VLOOKUP(B69,#REF!,24,FALSE)*1000),0)</f>
        <v>0</v>
      </c>
      <c r="AS69" s="280"/>
      <c r="AT69" s="334">
        <f t="shared" ref="AT69:AT88" si="18">AQ69-AR69</f>
        <v>447259</v>
      </c>
      <c r="AU69" s="281">
        <f t="shared" si="13"/>
        <v>0</v>
      </c>
    </row>
    <row r="70" spans="1:47" ht="15" customHeight="1" x14ac:dyDescent="0.25">
      <c r="A70" s="261">
        <v>67</v>
      </c>
      <c r="B70" s="5">
        <v>390006</v>
      </c>
      <c r="C70" s="6" t="s">
        <v>197</v>
      </c>
      <c r="D70" s="262"/>
      <c r="E70" s="263"/>
      <c r="F70" s="264"/>
      <c r="G70" s="262"/>
      <c r="H70" s="264"/>
      <c r="I70" s="262"/>
      <c r="J70" s="264"/>
      <c r="K70" s="262"/>
      <c r="L70" s="265">
        <f>IFERROR((VLOOKUP($B70,'АПП БАЗ (0)'!$B$8:$X$72,3,FALSE)),0)</f>
        <v>0</v>
      </c>
      <c r="M70" s="266">
        <f>IFERROR((VLOOKUP($B70,'АПП БАЗ (0)'!$B$8:$X$72,4,FALSE)*1000),0)</f>
        <v>0</v>
      </c>
      <c r="N70" s="264"/>
      <c r="O70" s="262"/>
      <c r="P70" s="267">
        <v>0</v>
      </c>
      <c r="Q70" s="265">
        <f>IFERROR((VLOOKUP($B70,'АПП БАЗ (0)'!$B$8:$X$72,10,FALSE)),0)+IFERROR((VLOOKUP($B70,'АПП БАЗ (0)'!$B$8:$X$72,22,FALSE)),0)</f>
        <v>0</v>
      </c>
      <c r="R70" s="266">
        <f>IFERROR((VLOOKUP($B70,'АПП БАЗ (0)'!$B$8:$X$72,11,FALSE)),0)*1000+IFERROR((VLOOKUP($B70,'АПП БАЗ (0)'!$B$8:$X$72,23,FALSE)),0)*1000</f>
        <v>0</v>
      </c>
      <c r="S70" s="264"/>
      <c r="T70" s="262"/>
      <c r="U70" s="268">
        <v>0</v>
      </c>
      <c r="V70" s="269">
        <v>0</v>
      </c>
      <c r="W70" s="268">
        <v>0</v>
      </c>
      <c r="X70" s="269">
        <v>0</v>
      </c>
      <c r="Y70" s="268">
        <v>0</v>
      </c>
      <c r="Z70" s="269">
        <v>0</v>
      </c>
      <c r="AA70" s="268">
        <v>0</v>
      </c>
      <c r="AB70" s="269">
        <v>0</v>
      </c>
      <c r="AC70" s="284"/>
      <c r="AD70" s="285"/>
      <c r="AE70" s="284"/>
      <c r="AF70" s="285"/>
      <c r="AG70" s="284"/>
      <c r="AH70" s="285"/>
      <c r="AI70" s="272">
        <f t="shared" si="14"/>
        <v>0</v>
      </c>
      <c r="AJ70" s="272">
        <f t="shared" si="10"/>
        <v>0</v>
      </c>
      <c r="AK70" s="273">
        <f t="shared" si="15"/>
        <v>0</v>
      </c>
      <c r="AL70" s="274">
        <f t="shared" si="15"/>
        <v>0</v>
      </c>
      <c r="AM70" s="275">
        <f t="shared" si="11"/>
        <v>0</v>
      </c>
      <c r="AN70" s="276">
        <f t="shared" si="16"/>
        <v>0</v>
      </c>
      <c r="AO70" s="277">
        <f t="shared" si="12"/>
        <v>0</v>
      </c>
      <c r="AP70" s="279"/>
      <c r="AQ70" s="278">
        <f t="shared" si="17"/>
        <v>0</v>
      </c>
      <c r="AR70" s="279">
        <f>IFERROR((VLOOKUP(B70,#REF!,24,FALSE)*1000),0)</f>
        <v>0</v>
      </c>
      <c r="AS70" s="280"/>
      <c r="AT70" s="334">
        <f t="shared" si="18"/>
        <v>0</v>
      </c>
      <c r="AU70" s="281">
        <f t="shared" si="13"/>
        <v>0</v>
      </c>
    </row>
    <row r="71" spans="1:47" ht="15" customHeight="1" x14ac:dyDescent="0.25">
      <c r="A71" s="261">
        <v>68</v>
      </c>
      <c r="B71" s="5">
        <v>391930</v>
      </c>
      <c r="C71" s="6" t="s">
        <v>198</v>
      </c>
      <c r="D71" s="262"/>
      <c r="E71" s="263"/>
      <c r="F71" s="264"/>
      <c r="G71" s="262"/>
      <c r="H71" s="264"/>
      <c r="I71" s="262"/>
      <c r="J71" s="264"/>
      <c r="K71" s="262"/>
      <c r="L71" s="265">
        <f>IFERROR((VLOOKUP($B71,'АПП БАЗ (0)'!$B$8:$X$72,3,FALSE)),0)</f>
        <v>0</v>
      </c>
      <c r="M71" s="266">
        <f>IFERROR((VLOOKUP($B71,'АПП БАЗ (0)'!$B$8:$X$72,4,FALSE)*1000),0)-P71</f>
        <v>2511330</v>
      </c>
      <c r="N71" s="264"/>
      <c r="O71" s="262"/>
      <c r="P71" s="267">
        <v>0</v>
      </c>
      <c r="Q71" s="265">
        <f>IFERROR((VLOOKUP($B71,'АПП БАЗ (0)'!$B$8:$X$72,10,FALSE)),0)+IFERROR((VLOOKUP($B71,'АПП БАЗ (0)'!$B$8:$X$72,22,FALSE)),0)</f>
        <v>0</v>
      </c>
      <c r="R71" s="266">
        <f>IFERROR((VLOOKUP($B71,'АПП БАЗ (0)'!$B$8:$X$72,11,FALSE)),0)*1000+IFERROR((VLOOKUP($B71,'АПП БАЗ (0)'!$B$8:$X$72,23,FALSE)),0)*1000</f>
        <v>0</v>
      </c>
      <c r="S71" s="264"/>
      <c r="T71" s="262"/>
      <c r="U71" s="268">
        <v>0</v>
      </c>
      <c r="V71" s="269">
        <v>0</v>
      </c>
      <c r="W71" s="268">
        <v>0</v>
      </c>
      <c r="X71" s="269">
        <v>0</v>
      </c>
      <c r="Y71" s="268">
        <v>0</v>
      </c>
      <c r="Z71" s="269">
        <v>0</v>
      </c>
      <c r="AA71" s="268">
        <v>0</v>
      </c>
      <c r="AB71" s="269">
        <v>0</v>
      </c>
      <c r="AC71" s="284"/>
      <c r="AD71" s="285"/>
      <c r="AE71" s="284"/>
      <c r="AF71" s="285"/>
      <c r="AG71" s="284"/>
      <c r="AH71" s="285"/>
      <c r="AI71" s="272">
        <f t="shared" si="14"/>
        <v>0</v>
      </c>
      <c r="AJ71" s="272">
        <f t="shared" si="10"/>
        <v>0</v>
      </c>
      <c r="AK71" s="273">
        <f t="shared" si="15"/>
        <v>0</v>
      </c>
      <c r="AL71" s="274">
        <f t="shared" si="15"/>
        <v>0</v>
      </c>
      <c r="AM71" s="275">
        <f t="shared" si="11"/>
        <v>2511330</v>
      </c>
      <c r="AN71" s="276">
        <f t="shared" si="16"/>
        <v>2511330</v>
      </c>
      <c r="AO71" s="277">
        <f t="shared" si="12"/>
        <v>2511330</v>
      </c>
      <c r="AP71" s="279">
        <v>2511330</v>
      </c>
      <c r="AQ71" s="278">
        <f t="shared" si="17"/>
        <v>2511330</v>
      </c>
      <c r="AR71" s="279">
        <f>IFERROR((VLOOKUP(B71,#REF!,24,FALSE)*1000),0)</f>
        <v>0</v>
      </c>
      <c r="AS71" s="280"/>
      <c r="AT71" s="334">
        <f t="shared" si="18"/>
        <v>2511330</v>
      </c>
      <c r="AU71" s="281">
        <f t="shared" si="13"/>
        <v>0</v>
      </c>
    </row>
    <row r="72" spans="1:47" ht="15" customHeight="1" x14ac:dyDescent="0.25">
      <c r="A72" s="261">
        <v>69</v>
      </c>
      <c r="B72" s="5">
        <v>390003</v>
      </c>
      <c r="C72" s="6" t="s">
        <v>199</v>
      </c>
      <c r="D72" s="262"/>
      <c r="E72" s="263"/>
      <c r="F72" s="264"/>
      <c r="G72" s="262"/>
      <c r="H72" s="264"/>
      <c r="I72" s="262"/>
      <c r="J72" s="264"/>
      <c r="K72" s="262"/>
      <c r="L72" s="265">
        <f>IFERROR((VLOOKUP($B72,'АПП БАЗ (0)'!$B$8:$X$72,3,FALSE)),0)</f>
        <v>50</v>
      </c>
      <c r="M72" s="266">
        <f>IFERROR((VLOOKUP($B72,'АПП БАЗ (0)'!$B$8:$X$72,4,FALSE)*1000),0)</f>
        <v>66214.5</v>
      </c>
      <c r="N72" s="264"/>
      <c r="O72" s="262"/>
      <c r="P72" s="267">
        <v>0</v>
      </c>
      <c r="Q72" s="265">
        <f>IFERROR((VLOOKUP($B72,'АПП БАЗ (0)'!$B$8:$X$72,10,FALSE)),0)+IFERROR((VLOOKUP($B72,'АПП БАЗ (0)'!$B$8:$X$72,22,FALSE)),0)</f>
        <v>30</v>
      </c>
      <c r="R72" s="266">
        <f>IFERROR((VLOOKUP($B72,'АПП БАЗ (0)'!$B$8:$X$72,11,FALSE)),0)*1000+IFERROR((VLOOKUP($B72,'АПП БАЗ (0)'!$B$8:$X$72,23,FALSE)),0)*1000</f>
        <v>9444.9</v>
      </c>
      <c r="S72" s="264"/>
      <c r="T72" s="262"/>
      <c r="U72" s="268">
        <v>0</v>
      </c>
      <c r="V72" s="269">
        <v>0</v>
      </c>
      <c r="W72" s="268">
        <v>0</v>
      </c>
      <c r="X72" s="269">
        <v>0</v>
      </c>
      <c r="Y72" s="268">
        <v>0</v>
      </c>
      <c r="Z72" s="269">
        <v>0</v>
      </c>
      <c r="AA72" s="268">
        <v>0</v>
      </c>
      <c r="AB72" s="269">
        <v>0</v>
      </c>
      <c r="AC72" s="284"/>
      <c r="AD72" s="285"/>
      <c r="AE72" s="284"/>
      <c r="AF72" s="285"/>
      <c r="AG72" s="284"/>
      <c r="AH72" s="285"/>
      <c r="AI72" s="272">
        <f t="shared" si="14"/>
        <v>50</v>
      </c>
      <c r="AJ72" s="272">
        <f t="shared" si="10"/>
        <v>30</v>
      </c>
      <c r="AK72" s="273">
        <f t="shared" si="15"/>
        <v>0</v>
      </c>
      <c r="AL72" s="274">
        <f t="shared" si="15"/>
        <v>0</v>
      </c>
      <c r="AM72" s="275">
        <f t="shared" si="11"/>
        <v>75659.399999999994</v>
      </c>
      <c r="AN72" s="276">
        <f t="shared" si="16"/>
        <v>75659.399999999994</v>
      </c>
      <c r="AO72" s="277">
        <f t="shared" si="12"/>
        <v>75659.399999999994</v>
      </c>
      <c r="AP72" s="279">
        <v>75659.399999999994</v>
      </c>
      <c r="AQ72" s="278">
        <f t="shared" si="17"/>
        <v>75659.399999999994</v>
      </c>
      <c r="AR72" s="279">
        <f>IFERROR((VLOOKUP(B72,#REF!,24,FALSE)*1000),0)</f>
        <v>0</v>
      </c>
      <c r="AS72" s="280"/>
      <c r="AT72" s="334">
        <f t="shared" si="18"/>
        <v>75659.399999999994</v>
      </c>
      <c r="AU72" s="281">
        <f t="shared" si="13"/>
        <v>0</v>
      </c>
    </row>
    <row r="73" spans="1:47" ht="15" customHeight="1" x14ac:dyDescent="0.25">
      <c r="A73" s="261">
        <v>70</v>
      </c>
      <c r="B73" s="5">
        <v>392750</v>
      </c>
      <c r="C73" s="6" t="s">
        <v>65</v>
      </c>
      <c r="D73" s="262"/>
      <c r="E73" s="263"/>
      <c r="F73" s="264"/>
      <c r="G73" s="262"/>
      <c r="H73" s="264"/>
      <c r="I73" s="262"/>
      <c r="J73" s="264"/>
      <c r="K73" s="262"/>
      <c r="L73" s="265">
        <f>IFERROR((VLOOKUP($B73,'АПП БАЗ (0)'!$B$8:$X$72,3,FALSE)),0)</f>
        <v>50</v>
      </c>
      <c r="M73" s="266">
        <f>IFERROR((VLOOKUP($B73,'АПП БАЗ (0)'!$B$8:$X$72,4,FALSE)*1000),0)</f>
        <v>66214.5</v>
      </c>
      <c r="N73" s="264"/>
      <c r="O73" s="262"/>
      <c r="P73" s="267">
        <v>0</v>
      </c>
      <c r="Q73" s="265">
        <f>IFERROR((VLOOKUP($B73,'АПП БАЗ (0)'!$B$8:$X$72,10,FALSE)),0)+IFERROR((VLOOKUP($B73,'АПП БАЗ (0)'!$B$8:$X$72,22,FALSE)),0)</f>
        <v>0</v>
      </c>
      <c r="R73" s="266">
        <f>IFERROR((VLOOKUP($B73,'АПП БАЗ (0)'!$B$8:$X$72,11,FALSE)),0)*1000+IFERROR((VLOOKUP($B73,'АПП БАЗ (0)'!$B$8:$X$72,23,FALSE)),0)*1000</f>
        <v>0</v>
      </c>
      <c r="S73" s="264"/>
      <c r="T73" s="262"/>
      <c r="U73" s="268">
        <v>0</v>
      </c>
      <c r="V73" s="269">
        <v>0</v>
      </c>
      <c r="W73" s="268">
        <v>0</v>
      </c>
      <c r="X73" s="269">
        <v>0</v>
      </c>
      <c r="Y73" s="268">
        <v>0</v>
      </c>
      <c r="Z73" s="269">
        <v>0</v>
      </c>
      <c r="AA73" s="268">
        <v>0</v>
      </c>
      <c r="AB73" s="269">
        <v>0</v>
      </c>
      <c r="AC73" s="284"/>
      <c r="AD73" s="285"/>
      <c r="AE73" s="284"/>
      <c r="AF73" s="285"/>
      <c r="AG73" s="284"/>
      <c r="AH73" s="285"/>
      <c r="AI73" s="272">
        <f t="shared" si="14"/>
        <v>50</v>
      </c>
      <c r="AJ73" s="272">
        <f t="shared" si="10"/>
        <v>0</v>
      </c>
      <c r="AK73" s="273">
        <f t="shared" si="15"/>
        <v>0</v>
      </c>
      <c r="AL73" s="274">
        <f t="shared" si="15"/>
        <v>0</v>
      </c>
      <c r="AM73" s="275">
        <f t="shared" si="11"/>
        <v>66214.5</v>
      </c>
      <c r="AN73" s="276">
        <f t="shared" si="16"/>
        <v>66214.5</v>
      </c>
      <c r="AO73" s="277">
        <f t="shared" si="12"/>
        <v>66214.5</v>
      </c>
      <c r="AP73" s="279">
        <v>66214.5</v>
      </c>
      <c r="AQ73" s="278">
        <f t="shared" si="17"/>
        <v>66214.5</v>
      </c>
      <c r="AR73" s="279">
        <f>IFERROR((VLOOKUP(B73,#REF!,24,FALSE)*1000),0)</f>
        <v>0</v>
      </c>
      <c r="AS73" s="280"/>
      <c r="AT73" s="334">
        <f t="shared" si="18"/>
        <v>66214.5</v>
      </c>
      <c r="AU73" s="281">
        <f t="shared" si="13"/>
        <v>0</v>
      </c>
    </row>
    <row r="74" spans="1:47" ht="15" customHeight="1" x14ac:dyDescent="0.25">
      <c r="A74" s="261">
        <v>71</v>
      </c>
      <c r="B74" s="5">
        <v>392830</v>
      </c>
      <c r="C74" s="6" t="s">
        <v>200</v>
      </c>
      <c r="D74" s="262"/>
      <c r="E74" s="263"/>
      <c r="F74" s="264"/>
      <c r="G74" s="262"/>
      <c r="H74" s="264"/>
      <c r="I74" s="262"/>
      <c r="J74" s="264"/>
      <c r="K74" s="262"/>
      <c r="L74" s="265">
        <f>IFERROR((VLOOKUP($B74,'АПП БАЗ (0)'!$B$8:$X$72,3,FALSE)),0)</f>
        <v>0</v>
      </c>
      <c r="M74" s="266">
        <f>IFERROR((VLOOKUP($B74,'АПП БАЗ (0)'!$B$8:$X$72,4,FALSE)*1000),0)-P74</f>
        <v>2075810</v>
      </c>
      <c r="N74" s="264"/>
      <c r="O74" s="262"/>
      <c r="P74" s="267">
        <v>0</v>
      </c>
      <c r="Q74" s="265">
        <f>IFERROR((VLOOKUP($B74,'АПП БАЗ (0)'!$B$8:$X$72,10,FALSE)),0)+IFERROR((VLOOKUP($B74,'АПП БАЗ (0)'!$B$8:$X$72,22,FALSE)),0)</f>
        <v>0</v>
      </c>
      <c r="R74" s="266">
        <f>IFERROR((VLOOKUP($B74,'АПП БАЗ (0)'!$B$8:$X$72,11,FALSE)),0)*1000+IFERROR((VLOOKUP($B74,'АПП БАЗ (0)'!$B$8:$X$72,23,FALSE)),0)*1000</f>
        <v>0</v>
      </c>
      <c r="S74" s="264"/>
      <c r="T74" s="262"/>
      <c r="U74" s="268">
        <v>0</v>
      </c>
      <c r="V74" s="269">
        <v>0</v>
      </c>
      <c r="W74" s="268">
        <v>0</v>
      </c>
      <c r="X74" s="269">
        <v>0</v>
      </c>
      <c r="Y74" s="268">
        <v>0</v>
      </c>
      <c r="Z74" s="269">
        <v>0</v>
      </c>
      <c r="AA74" s="268">
        <v>0</v>
      </c>
      <c r="AB74" s="269">
        <v>0</v>
      </c>
      <c r="AC74" s="284"/>
      <c r="AD74" s="285"/>
      <c r="AE74" s="284"/>
      <c r="AF74" s="285"/>
      <c r="AG74" s="284"/>
      <c r="AH74" s="285"/>
      <c r="AI74" s="272">
        <f t="shared" si="14"/>
        <v>0</v>
      </c>
      <c r="AJ74" s="272">
        <f t="shared" si="10"/>
        <v>0</v>
      </c>
      <c r="AK74" s="273">
        <f t="shared" si="15"/>
        <v>0</v>
      </c>
      <c r="AL74" s="274">
        <f t="shared" si="15"/>
        <v>0</v>
      </c>
      <c r="AM74" s="275">
        <f t="shared" si="11"/>
        <v>2075810</v>
      </c>
      <c r="AN74" s="276">
        <f t="shared" si="16"/>
        <v>2075810</v>
      </c>
      <c r="AO74" s="277">
        <f t="shared" si="12"/>
        <v>2075810</v>
      </c>
      <c r="AP74" s="279">
        <v>2075810</v>
      </c>
      <c r="AQ74" s="278">
        <f t="shared" si="17"/>
        <v>2075810</v>
      </c>
      <c r="AR74" s="279">
        <f>IFERROR((VLOOKUP(B74,#REF!,24,FALSE)*1000),0)</f>
        <v>0</v>
      </c>
      <c r="AS74" s="280"/>
      <c r="AT74" s="334">
        <f t="shared" si="18"/>
        <v>2075810</v>
      </c>
      <c r="AU74" s="281">
        <f t="shared" si="13"/>
        <v>0</v>
      </c>
    </row>
    <row r="75" spans="1:47" ht="15" customHeight="1" x14ac:dyDescent="0.25">
      <c r="A75" s="261">
        <v>72</v>
      </c>
      <c r="B75" s="5">
        <v>390008</v>
      </c>
      <c r="C75" s="6" t="s">
        <v>201</v>
      </c>
      <c r="D75" s="262"/>
      <c r="E75" s="263"/>
      <c r="F75" s="264"/>
      <c r="G75" s="262"/>
      <c r="H75" s="264"/>
      <c r="I75" s="262"/>
      <c r="J75" s="264"/>
      <c r="K75" s="262"/>
      <c r="L75" s="265">
        <f>IFERROR((VLOOKUP($B75,'АПП БАЗ (0)'!$B$8:$X$72,3,FALSE)),0)</f>
        <v>0</v>
      </c>
      <c r="M75" s="266">
        <f>IFERROR((VLOOKUP($B75,'АПП БАЗ (0)'!$B$8:$X$72,4,FALSE)*1000),0)</f>
        <v>0</v>
      </c>
      <c r="N75" s="264"/>
      <c r="O75" s="262"/>
      <c r="P75" s="267">
        <v>0</v>
      </c>
      <c r="Q75" s="265">
        <f>IFERROR((VLOOKUP($B75,'АПП БАЗ (0)'!$B$8:$X$72,10,FALSE)),0)+IFERROR((VLOOKUP($B75,'АПП БАЗ (0)'!$B$8:$X$72,22,FALSE)),0)</f>
        <v>0</v>
      </c>
      <c r="R75" s="266">
        <f>IFERROR((VLOOKUP($B75,'АПП БАЗ (0)'!$B$8:$X$72,11,FALSE)),0)*1000+IFERROR((VLOOKUP($B75,'АПП БАЗ (0)'!$B$8:$X$72,23,FALSE)),0)*1000</f>
        <v>0</v>
      </c>
      <c r="S75" s="264"/>
      <c r="T75" s="262"/>
      <c r="U75" s="268">
        <v>0</v>
      </c>
      <c r="V75" s="269">
        <v>0</v>
      </c>
      <c r="W75" s="268">
        <v>0</v>
      </c>
      <c r="X75" s="269">
        <v>0</v>
      </c>
      <c r="Y75" s="268">
        <v>0</v>
      </c>
      <c r="Z75" s="269">
        <v>0</v>
      </c>
      <c r="AA75" s="268">
        <v>0</v>
      </c>
      <c r="AB75" s="269">
        <v>0</v>
      </c>
      <c r="AC75" s="284"/>
      <c r="AD75" s="285"/>
      <c r="AE75" s="284"/>
      <c r="AF75" s="285"/>
      <c r="AG75" s="284"/>
      <c r="AH75" s="285"/>
      <c r="AI75" s="272">
        <f t="shared" si="14"/>
        <v>0</v>
      </c>
      <c r="AJ75" s="272">
        <f t="shared" si="10"/>
        <v>0</v>
      </c>
      <c r="AK75" s="273">
        <f t="shared" si="15"/>
        <v>0</v>
      </c>
      <c r="AL75" s="274">
        <f t="shared" si="15"/>
        <v>0</v>
      </c>
      <c r="AM75" s="275">
        <f t="shared" si="11"/>
        <v>0</v>
      </c>
      <c r="AN75" s="276">
        <f t="shared" si="16"/>
        <v>0</v>
      </c>
      <c r="AO75" s="277">
        <f t="shared" si="12"/>
        <v>0</v>
      </c>
      <c r="AP75" s="279"/>
      <c r="AQ75" s="278">
        <f t="shared" si="17"/>
        <v>0</v>
      </c>
      <c r="AR75" s="279">
        <f>IFERROR((VLOOKUP(B75,#REF!,24,FALSE)*1000),0)</f>
        <v>0</v>
      </c>
      <c r="AS75" s="280"/>
      <c r="AT75" s="334">
        <f t="shared" si="18"/>
        <v>0</v>
      </c>
      <c r="AU75" s="281">
        <f t="shared" si="13"/>
        <v>0</v>
      </c>
    </row>
    <row r="76" spans="1:47" ht="15" customHeight="1" x14ac:dyDescent="0.25">
      <c r="A76" s="261">
        <v>73</v>
      </c>
      <c r="B76" s="5">
        <v>391960</v>
      </c>
      <c r="C76" s="6" t="s">
        <v>66</v>
      </c>
      <c r="D76" s="262"/>
      <c r="E76" s="263"/>
      <c r="F76" s="264"/>
      <c r="G76" s="262"/>
      <c r="H76" s="264"/>
      <c r="I76" s="262"/>
      <c r="J76" s="264"/>
      <c r="K76" s="262"/>
      <c r="L76" s="265">
        <f>IFERROR((VLOOKUP($B76,'АПП БАЗ (0)'!$B$8:$X$72,3,FALSE)),0)</f>
        <v>0</v>
      </c>
      <c r="M76" s="266">
        <f>IFERROR((VLOOKUP($B76,'АПП БАЗ (0)'!$B$8:$X$72,4,FALSE)*1000),0)</f>
        <v>0</v>
      </c>
      <c r="N76" s="264"/>
      <c r="O76" s="262"/>
      <c r="P76" s="267">
        <v>0</v>
      </c>
      <c r="Q76" s="265">
        <f>IFERROR((VLOOKUP($B76,'АПП БАЗ (0)'!$B$8:$X$72,10,FALSE)),0)+IFERROR((VLOOKUP($B76,'АПП БАЗ (0)'!$B$8:$X$72,22,FALSE)),0)</f>
        <v>0</v>
      </c>
      <c r="R76" s="266">
        <f>IFERROR((VLOOKUP($B76,'АПП БАЗ (0)'!$B$8:$X$72,11,FALSE)),0)*1000+IFERROR((VLOOKUP($B76,'АПП БАЗ (0)'!$B$8:$X$72,23,FALSE)),0)*1000</f>
        <v>0</v>
      </c>
      <c r="S76" s="264"/>
      <c r="T76" s="262"/>
      <c r="U76" s="268">
        <v>0</v>
      </c>
      <c r="V76" s="269">
        <v>0</v>
      </c>
      <c r="W76" s="268">
        <v>0</v>
      </c>
      <c r="X76" s="269">
        <v>0</v>
      </c>
      <c r="Y76" s="268">
        <v>0</v>
      </c>
      <c r="Z76" s="269">
        <v>0</v>
      </c>
      <c r="AA76" s="268">
        <v>0</v>
      </c>
      <c r="AB76" s="269">
        <v>0</v>
      </c>
      <c r="AC76" s="284"/>
      <c r="AD76" s="285"/>
      <c r="AE76" s="284"/>
      <c r="AF76" s="285"/>
      <c r="AG76" s="284"/>
      <c r="AH76" s="285"/>
      <c r="AI76" s="272">
        <f t="shared" si="14"/>
        <v>0</v>
      </c>
      <c r="AJ76" s="272">
        <f t="shared" si="10"/>
        <v>0</v>
      </c>
      <c r="AK76" s="273">
        <f t="shared" si="15"/>
        <v>0</v>
      </c>
      <c r="AL76" s="274">
        <f t="shared" si="15"/>
        <v>0</v>
      </c>
      <c r="AM76" s="275">
        <f t="shared" si="11"/>
        <v>0</v>
      </c>
      <c r="AN76" s="276">
        <f t="shared" si="16"/>
        <v>0</v>
      </c>
      <c r="AO76" s="277">
        <f t="shared" si="12"/>
        <v>0</v>
      </c>
      <c r="AP76" s="279">
        <v>0</v>
      </c>
      <c r="AQ76" s="278">
        <f t="shared" si="17"/>
        <v>0</v>
      </c>
      <c r="AR76" s="279">
        <f>IFERROR((VLOOKUP(B76,#REF!,24,FALSE)*1000),0)</f>
        <v>0</v>
      </c>
      <c r="AS76" s="280"/>
      <c r="AT76" s="334">
        <f t="shared" si="18"/>
        <v>0</v>
      </c>
      <c r="AU76" s="281">
        <f t="shared" si="13"/>
        <v>0</v>
      </c>
    </row>
    <row r="77" spans="1:47" ht="15" customHeight="1" x14ac:dyDescent="0.25">
      <c r="A77" s="261">
        <v>74</v>
      </c>
      <c r="B77" s="5">
        <v>390007</v>
      </c>
      <c r="C77" s="6" t="s">
        <v>202</v>
      </c>
      <c r="D77" s="262"/>
      <c r="E77" s="263"/>
      <c r="F77" s="264"/>
      <c r="G77" s="262"/>
      <c r="H77" s="264"/>
      <c r="I77" s="262"/>
      <c r="J77" s="264"/>
      <c r="K77" s="262"/>
      <c r="L77" s="265">
        <f>IFERROR((VLOOKUP($B77,'АПП БАЗ (0)'!$B$8:$X$72,3,FALSE)),0)</f>
        <v>50</v>
      </c>
      <c r="M77" s="266">
        <f>IFERROR((VLOOKUP($B77,'АПП БАЗ (0)'!$B$8:$X$72,4,FALSE)*1000),0)-P77</f>
        <v>93394.5</v>
      </c>
      <c r="N77" s="264"/>
      <c r="O77" s="262"/>
      <c r="P77" s="267">
        <v>0</v>
      </c>
      <c r="Q77" s="265">
        <f>IFERROR((VLOOKUP($B77,'АПП БАЗ (0)'!$B$8:$X$72,10,FALSE)),0)+IFERROR((VLOOKUP($B77,'АПП БАЗ (0)'!$B$8:$X$72,22,FALSE)),0)</f>
        <v>30</v>
      </c>
      <c r="R77" s="266">
        <f>IFERROR((VLOOKUP($B77,'АПП БАЗ (0)'!$B$8:$X$72,11,FALSE)),0)*1000+IFERROR((VLOOKUP($B77,'АПП БАЗ (0)'!$B$8:$X$72,23,FALSE)),0)*1000</f>
        <v>9444.9</v>
      </c>
      <c r="S77" s="264"/>
      <c r="T77" s="262"/>
      <c r="U77" s="268">
        <v>0</v>
      </c>
      <c r="V77" s="269">
        <v>0</v>
      </c>
      <c r="W77" s="268">
        <v>0</v>
      </c>
      <c r="X77" s="269">
        <v>0</v>
      </c>
      <c r="Y77" s="268">
        <v>0</v>
      </c>
      <c r="Z77" s="269">
        <v>0</v>
      </c>
      <c r="AA77" s="268">
        <v>0</v>
      </c>
      <c r="AB77" s="269">
        <v>0</v>
      </c>
      <c r="AC77" s="284"/>
      <c r="AD77" s="285"/>
      <c r="AE77" s="284"/>
      <c r="AF77" s="285"/>
      <c r="AG77" s="284"/>
      <c r="AH77" s="285"/>
      <c r="AI77" s="272">
        <f t="shared" si="14"/>
        <v>50</v>
      </c>
      <c r="AJ77" s="272">
        <f t="shared" si="10"/>
        <v>30</v>
      </c>
      <c r="AK77" s="273">
        <f t="shared" si="15"/>
        <v>0</v>
      </c>
      <c r="AL77" s="274">
        <f t="shared" si="15"/>
        <v>0</v>
      </c>
      <c r="AM77" s="275">
        <f t="shared" si="11"/>
        <v>102839.4</v>
      </c>
      <c r="AN77" s="276">
        <f t="shared" si="16"/>
        <v>102839.4</v>
      </c>
      <c r="AO77" s="277">
        <f t="shared" si="12"/>
        <v>102839.4</v>
      </c>
      <c r="AP77" s="279">
        <v>102839.4</v>
      </c>
      <c r="AQ77" s="278">
        <f t="shared" si="17"/>
        <v>102839.4</v>
      </c>
      <c r="AR77" s="279">
        <f>IFERROR((VLOOKUP(B77,#REF!,24,FALSE)*1000),0)</f>
        <v>0</v>
      </c>
      <c r="AS77" s="280"/>
      <c r="AT77" s="334">
        <f t="shared" si="18"/>
        <v>102839.4</v>
      </c>
      <c r="AU77" s="281">
        <f t="shared" si="13"/>
        <v>0</v>
      </c>
    </row>
    <row r="78" spans="1:47" ht="15" customHeight="1" x14ac:dyDescent="0.25">
      <c r="A78" s="261">
        <v>75</v>
      </c>
      <c r="B78" s="5">
        <v>391370</v>
      </c>
      <c r="C78" s="6" t="s">
        <v>73</v>
      </c>
      <c r="D78" s="262"/>
      <c r="E78" s="263"/>
      <c r="F78" s="264"/>
      <c r="G78" s="262"/>
      <c r="H78" s="264"/>
      <c r="I78" s="262"/>
      <c r="J78" s="264"/>
      <c r="K78" s="262"/>
      <c r="L78" s="265">
        <f>IFERROR((VLOOKUP($B78,'АПП БАЗ (0)'!$B$8:$X$72,3,FALSE)),0)</f>
        <v>0</v>
      </c>
      <c r="M78" s="266">
        <f>IFERROR((VLOOKUP($B78,'АПП БАЗ (0)'!$B$8:$X$72,4,FALSE)*1000),0)-P78</f>
        <v>1102770</v>
      </c>
      <c r="N78" s="264"/>
      <c r="O78" s="262"/>
      <c r="P78" s="267">
        <v>0</v>
      </c>
      <c r="Q78" s="265">
        <f>IFERROR((VLOOKUP($B78,'АПП БАЗ (0)'!$B$8:$X$72,10,FALSE)),0)+IFERROR((VLOOKUP($B78,'АПП БАЗ (0)'!$B$8:$X$72,22,FALSE)),0)</f>
        <v>0</v>
      </c>
      <c r="R78" s="266">
        <f>IFERROR((VLOOKUP($B78,'АПП БАЗ (0)'!$B$8:$X$72,11,FALSE)),0)*1000+IFERROR((VLOOKUP($B78,'АПП БАЗ (0)'!$B$8:$X$72,23,FALSE)),0)*1000</f>
        <v>0</v>
      </c>
      <c r="S78" s="264"/>
      <c r="T78" s="262"/>
      <c r="U78" s="268">
        <v>0</v>
      </c>
      <c r="V78" s="269">
        <v>0</v>
      </c>
      <c r="W78" s="268">
        <v>0</v>
      </c>
      <c r="X78" s="269">
        <v>0</v>
      </c>
      <c r="Y78" s="268">
        <v>0</v>
      </c>
      <c r="Z78" s="269">
        <v>0</v>
      </c>
      <c r="AA78" s="268">
        <v>0</v>
      </c>
      <c r="AB78" s="269">
        <v>0</v>
      </c>
      <c r="AC78" s="284"/>
      <c r="AD78" s="285"/>
      <c r="AE78" s="284"/>
      <c r="AF78" s="285"/>
      <c r="AG78" s="284"/>
      <c r="AH78" s="285"/>
      <c r="AI78" s="272">
        <f t="shared" si="14"/>
        <v>0</v>
      </c>
      <c r="AJ78" s="272">
        <f t="shared" si="10"/>
        <v>0</v>
      </c>
      <c r="AK78" s="273">
        <f t="shared" si="15"/>
        <v>0</v>
      </c>
      <c r="AL78" s="274">
        <f t="shared" si="15"/>
        <v>0</v>
      </c>
      <c r="AM78" s="275">
        <f t="shared" si="11"/>
        <v>1102770</v>
      </c>
      <c r="AN78" s="276">
        <f t="shared" si="16"/>
        <v>1102770</v>
      </c>
      <c r="AO78" s="277">
        <f t="shared" si="12"/>
        <v>1102770</v>
      </c>
      <c r="AP78" s="279">
        <v>1102770</v>
      </c>
      <c r="AQ78" s="278">
        <f t="shared" si="17"/>
        <v>1102770</v>
      </c>
      <c r="AR78" s="279">
        <f>IFERROR((VLOOKUP(B78,#REF!,24,FALSE)*1000),0)</f>
        <v>0</v>
      </c>
      <c r="AS78" s="280"/>
      <c r="AT78" s="334">
        <f t="shared" si="18"/>
        <v>1102770</v>
      </c>
      <c r="AU78" s="281">
        <f t="shared" si="13"/>
        <v>0</v>
      </c>
    </row>
    <row r="79" spans="1:47" ht="15" customHeight="1" x14ac:dyDescent="0.25">
      <c r="A79" s="261">
        <v>76</v>
      </c>
      <c r="B79" s="5">
        <v>392470</v>
      </c>
      <c r="C79" s="6" t="s">
        <v>67</v>
      </c>
      <c r="D79" s="262"/>
      <c r="E79" s="263"/>
      <c r="F79" s="264"/>
      <c r="G79" s="262"/>
      <c r="H79" s="264"/>
      <c r="I79" s="262"/>
      <c r="J79" s="264"/>
      <c r="K79" s="262"/>
      <c r="L79" s="265">
        <f>IFERROR((VLOOKUP($B79,'АПП БАЗ (0)'!$B$8:$X$72,3,FALSE)),0)</f>
        <v>0</v>
      </c>
      <c r="M79" s="266">
        <f>IFERROR((VLOOKUP($B79,'АПП БАЗ (0)'!$B$8:$X$72,4,FALSE)*1000),0)</f>
        <v>0</v>
      </c>
      <c r="N79" s="264"/>
      <c r="O79" s="262"/>
      <c r="P79" s="267">
        <v>0</v>
      </c>
      <c r="Q79" s="265">
        <f>IFERROR((VLOOKUP($B79,'АПП БАЗ (0)'!$B$8:$X$72,10,FALSE)),0)+IFERROR((VLOOKUP($B79,'АПП БАЗ (0)'!$B$8:$X$72,22,FALSE)),0)</f>
        <v>0</v>
      </c>
      <c r="R79" s="266">
        <f>IFERROR((VLOOKUP($B79,'АПП БАЗ (0)'!$B$8:$X$72,11,FALSE)),0)*1000+IFERROR((VLOOKUP($B79,'АПП БАЗ (0)'!$B$8:$X$72,23,FALSE)),0)*1000</f>
        <v>0</v>
      </c>
      <c r="S79" s="264"/>
      <c r="T79" s="262"/>
      <c r="U79" s="268">
        <v>0</v>
      </c>
      <c r="V79" s="269">
        <v>0</v>
      </c>
      <c r="W79" s="268">
        <v>0</v>
      </c>
      <c r="X79" s="269">
        <v>0</v>
      </c>
      <c r="Y79" s="268">
        <v>0</v>
      </c>
      <c r="Z79" s="269">
        <v>0</v>
      </c>
      <c r="AA79" s="268">
        <v>0</v>
      </c>
      <c r="AB79" s="269">
        <v>0</v>
      </c>
      <c r="AC79" s="284"/>
      <c r="AD79" s="285"/>
      <c r="AE79" s="284"/>
      <c r="AF79" s="285"/>
      <c r="AG79" s="284"/>
      <c r="AH79" s="285"/>
      <c r="AI79" s="272">
        <f t="shared" si="14"/>
        <v>0</v>
      </c>
      <c r="AJ79" s="272">
        <f t="shared" si="10"/>
        <v>0</v>
      </c>
      <c r="AK79" s="273">
        <f t="shared" si="15"/>
        <v>0</v>
      </c>
      <c r="AL79" s="274">
        <f t="shared" si="15"/>
        <v>0</v>
      </c>
      <c r="AM79" s="275">
        <f t="shared" si="11"/>
        <v>0</v>
      </c>
      <c r="AN79" s="276">
        <f t="shared" si="16"/>
        <v>0</v>
      </c>
      <c r="AO79" s="277">
        <f t="shared" si="12"/>
        <v>0</v>
      </c>
      <c r="AP79" s="279">
        <v>0</v>
      </c>
      <c r="AQ79" s="278">
        <f t="shared" si="17"/>
        <v>0</v>
      </c>
      <c r="AR79" s="279">
        <f>IFERROR((VLOOKUP(B79,#REF!,24,FALSE)*1000),0)</f>
        <v>0</v>
      </c>
      <c r="AS79" s="280"/>
      <c r="AT79" s="334">
        <f t="shared" si="18"/>
        <v>0</v>
      </c>
      <c r="AU79" s="281">
        <f t="shared" si="13"/>
        <v>0</v>
      </c>
    </row>
    <row r="80" spans="1:47" ht="15" customHeight="1" x14ac:dyDescent="0.25">
      <c r="A80" s="261">
        <v>77</v>
      </c>
      <c r="B80" s="5">
        <v>391970</v>
      </c>
      <c r="C80" s="6" t="s">
        <v>203</v>
      </c>
      <c r="D80" s="262"/>
      <c r="E80" s="263"/>
      <c r="F80" s="264"/>
      <c r="G80" s="262"/>
      <c r="H80" s="264"/>
      <c r="I80" s="262"/>
      <c r="J80" s="264"/>
      <c r="K80" s="262"/>
      <c r="L80" s="265">
        <f>IFERROR((VLOOKUP($B80,'АПП БАЗ (0)'!$B$8:$X$72,3,FALSE)),0)</f>
        <v>0</v>
      </c>
      <c r="M80" s="266">
        <f>IFERROR((VLOOKUP($B80,'АПП БАЗ (0)'!$B$8:$X$72,4,FALSE)*1000),0)-P80</f>
        <v>1910400</v>
      </c>
      <c r="N80" s="264"/>
      <c r="O80" s="262"/>
      <c r="P80" s="267">
        <v>0</v>
      </c>
      <c r="Q80" s="265">
        <f>IFERROR((VLOOKUP($B80,'АПП БАЗ (0)'!$B$8:$X$72,10,FALSE)),0)+IFERROR((VLOOKUP($B80,'АПП БАЗ (0)'!$B$8:$X$72,22,FALSE)),0)</f>
        <v>0</v>
      </c>
      <c r="R80" s="266">
        <f>IFERROR((VLOOKUP($B80,'АПП БАЗ (0)'!$B$8:$X$72,11,FALSE)),0)*1000+IFERROR((VLOOKUP($B80,'АПП БАЗ (0)'!$B$8:$X$72,23,FALSE)),0)*1000</f>
        <v>0</v>
      </c>
      <c r="S80" s="264"/>
      <c r="T80" s="262"/>
      <c r="U80" s="268">
        <v>0</v>
      </c>
      <c r="V80" s="269">
        <v>0</v>
      </c>
      <c r="W80" s="268">
        <v>0</v>
      </c>
      <c r="X80" s="269">
        <v>0</v>
      </c>
      <c r="Y80" s="268">
        <v>0</v>
      </c>
      <c r="Z80" s="269">
        <v>0</v>
      </c>
      <c r="AA80" s="268">
        <v>0</v>
      </c>
      <c r="AB80" s="269">
        <v>0</v>
      </c>
      <c r="AC80" s="284"/>
      <c r="AD80" s="285"/>
      <c r="AE80" s="284"/>
      <c r="AF80" s="285"/>
      <c r="AG80" s="284"/>
      <c r="AH80" s="285"/>
      <c r="AI80" s="272">
        <f t="shared" si="14"/>
        <v>0</v>
      </c>
      <c r="AJ80" s="272">
        <f t="shared" si="10"/>
        <v>0</v>
      </c>
      <c r="AK80" s="273">
        <f t="shared" si="15"/>
        <v>0</v>
      </c>
      <c r="AL80" s="274">
        <f t="shared" si="15"/>
        <v>0</v>
      </c>
      <c r="AM80" s="275">
        <f t="shared" si="11"/>
        <v>1910400</v>
      </c>
      <c r="AN80" s="276">
        <f t="shared" si="16"/>
        <v>1910400</v>
      </c>
      <c r="AO80" s="277">
        <f t="shared" si="12"/>
        <v>1910400</v>
      </c>
      <c r="AP80" s="279">
        <v>1910400</v>
      </c>
      <c r="AQ80" s="278">
        <f t="shared" si="17"/>
        <v>1910400</v>
      </c>
      <c r="AR80" s="279">
        <f>IFERROR((VLOOKUP(B80,#REF!,24,FALSE)*1000),0)</f>
        <v>0</v>
      </c>
      <c r="AS80" s="280"/>
      <c r="AT80" s="334">
        <f t="shared" si="18"/>
        <v>1910400</v>
      </c>
      <c r="AU80" s="281">
        <f t="shared" si="13"/>
        <v>0</v>
      </c>
    </row>
    <row r="81" spans="1:47" ht="15" customHeight="1" x14ac:dyDescent="0.25">
      <c r="A81" s="261">
        <v>78</v>
      </c>
      <c r="B81" s="5">
        <v>392720</v>
      </c>
      <c r="C81" s="6" t="s">
        <v>69</v>
      </c>
      <c r="D81" s="262"/>
      <c r="E81" s="263"/>
      <c r="F81" s="264"/>
      <c r="G81" s="262"/>
      <c r="H81" s="264"/>
      <c r="I81" s="262"/>
      <c r="J81" s="264"/>
      <c r="K81" s="262"/>
      <c r="L81" s="265">
        <f>IFERROR((VLOOKUP($B81,'АПП БАЗ (0)'!$B$8:$X$72,3,FALSE)),0)</f>
        <v>0</v>
      </c>
      <c r="M81" s="266">
        <f>IFERROR((VLOOKUP($B81,'АПП БАЗ (0)'!$B$8:$X$72,4,FALSE)*1000),0)-P81</f>
        <v>1043560</v>
      </c>
      <c r="N81" s="264"/>
      <c r="O81" s="262"/>
      <c r="P81" s="267">
        <v>0</v>
      </c>
      <c r="Q81" s="265">
        <f>IFERROR((VLOOKUP($B81,'АПП БАЗ (0)'!$B$8:$X$72,10,FALSE)),0)+IFERROR((VLOOKUP($B81,'АПП БАЗ (0)'!$B$8:$X$72,22,FALSE)),0)</f>
        <v>0</v>
      </c>
      <c r="R81" s="266">
        <f>IFERROR((VLOOKUP($B81,'АПП БАЗ (0)'!$B$8:$X$72,11,FALSE)),0)*1000+IFERROR((VLOOKUP($B81,'АПП БАЗ (0)'!$B$8:$X$72,23,FALSE)),0)*1000</f>
        <v>0</v>
      </c>
      <c r="S81" s="264"/>
      <c r="T81" s="262"/>
      <c r="U81" s="268">
        <v>0</v>
      </c>
      <c r="V81" s="269">
        <v>0</v>
      </c>
      <c r="W81" s="268">
        <v>0</v>
      </c>
      <c r="X81" s="269">
        <v>0</v>
      </c>
      <c r="Y81" s="268">
        <v>0</v>
      </c>
      <c r="Z81" s="269">
        <v>0</v>
      </c>
      <c r="AA81" s="268">
        <v>0</v>
      </c>
      <c r="AB81" s="269">
        <v>0</v>
      </c>
      <c r="AC81" s="284"/>
      <c r="AD81" s="285"/>
      <c r="AE81" s="284"/>
      <c r="AF81" s="285"/>
      <c r="AG81" s="284"/>
      <c r="AH81" s="285"/>
      <c r="AI81" s="272">
        <f t="shared" si="14"/>
        <v>0</v>
      </c>
      <c r="AJ81" s="272">
        <f t="shared" si="10"/>
        <v>0</v>
      </c>
      <c r="AK81" s="273">
        <f t="shared" si="15"/>
        <v>0</v>
      </c>
      <c r="AL81" s="274">
        <f t="shared" si="15"/>
        <v>0</v>
      </c>
      <c r="AM81" s="275">
        <f t="shared" si="11"/>
        <v>1043560</v>
      </c>
      <c r="AN81" s="276">
        <f t="shared" si="16"/>
        <v>1043560</v>
      </c>
      <c r="AO81" s="277">
        <f t="shared" si="12"/>
        <v>1043560</v>
      </c>
      <c r="AP81" s="279">
        <v>1043560</v>
      </c>
      <c r="AQ81" s="278">
        <f t="shared" si="17"/>
        <v>1043560</v>
      </c>
      <c r="AR81" s="279">
        <f>IFERROR((VLOOKUP(B81,#REF!,24,FALSE)*1000),0)</f>
        <v>0</v>
      </c>
      <c r="AS81" s="280"/>
      <c r="AT81" s="334">
        <f t="shared" si="18"/>
        <v>1043560</v>
      </c>
      <c r="AU81" s="281">
        <f t="shared" si="13"/>
        <v>0</v>
      </c>
    </row>
    <row r="82" spans="1:47" ht="15" customHeight="1" x14ac:dyDescent="0.25">
      <c r="A82" s="261">
        <v>79</v>
      </c>
      <c r="B82" s="5">
        <v>392050</v>
      </c>
      <c r="C82" s="6" t="s">
        <v>204</v>
      </c>
      <c r="D82" s="262"/>
      <c r="E82" s="263"/>
      <c r="F82" s="264"/>
      <c r="G82" s="262"/>
      <c r="H82" s="264"/>
      <c r="I82" s="262"/>
      <c r="J82" s="264"/>
      <c r="K82" s="262"/>
      <c r="L82" s="265">
        <f>IFERROR((VLOOKUP($B82,'АПП БАЗ (0)'!$B$8:$X$72,3,FALSE)),0)</f>
        <v>0</v>
      </c>
      <c r="M82" s="266">
        <f>IFERROR((VLOOKUP($B82,'АПП БАЗ (0)'!$B$8:$X$72,4,FALSE)*1000),0)-P82</f>
        <v>324799.99999999994</v>
      </c>
      <c r="N82" s="264"/>
      <c r="O82" s="262"/>
      <c r="P82" s="267">
        <v>50000</v>
      </c>
      <c r="Q82" s="265">
        <f>IFERROR((VLOOKUP($B82,'АПП БАЗ (0)'!$B$8:$X$72,10,FALSE)),0)+IFERROR((VLOOKUP($B82,'АПП БАЗ (0)'!$B$8:$X$72,22,FALSE)),0)</f>
        <v>0</v>
      </c>
      <c r="R82" s="266">
        <f>IFERROR((VLOOKUP($B82,'АПП БАЗ (0)'!$B$8:$X$72,11,FALSE)),0)*1000+IFERROR((VLOOKUP($B82,'АПП БАЗ (0)'!$B$8:$X$72,23,FALSE)),0)*1000</f>
        <v>0</v>
      </c>
      <c r="S82" s="264"/>
      <c r="T82" s="262"/>
      <c r="U82" s="268">
        <v>0</v>
      </c>
      <c r="V82" s="269">
        <v>0</v>
      </c>
      <c r="W82" s="268">
        <v>0</v>
      </c>
      <c r="X82" s="269">
        <v>0</v>
      </c>
      <c r="Y82" s="268">
        <v>0</v>
      </c>
      <c r="Z82" s="269">
        <v>0</v>
      </c>
      <c r="AA82" s="268">
        <v>0</v>
      </c>
      <c r="AB82" s="269">
        <v>0</v>
      </c>
      <c r="AC82" s="284"/>
      <c r="AD82" s="285"/>
      <c r="AE82" s="284"/>
      <c r="AF82" s="285"/>
      <c r="AG82" s="284"/>
      <c r="AH82" s="285"/>
      <c r="AI82" s="272">
        <f t="shared" si="14"/>
        <v>0</v>
      </c>
      <c r="AJ82" s="272">
        <f t="shared" si="10"/>
        <v>0</v>
      </c>
      <c r="AK82" s="273">
        <f t="shared" si="15"/>
        <v>0</v>
      </c>
      <c r="AL82" s="274">
        <f t="shared" si="15"/>
        <v>0</v>
      </c>
      <c r="AM82" s="275">
        <f t="shared" si="11"/>
        <v>374799.99999999994</v>
      </c>
      <c r="AN82" s="276">
        <f t="shared" si="16"/>
        <v>374799.99999999994</v>
      </c>
      <c r="AO82" s="277">
        <f t="shared" si="12"/>
        <v>324799.99999999994</v>
      </c>
      <c r="AP82" s="279">
        <v>374800</v>
      </c>
      <c r="AQ82" s="278">
        <f t="shared" si="17"/>
        <v>374799.99999999994</v>
      </c>
      <c r="AR82" s="279">
        <f>IFERROR((VLOOKUP(B82,#REF!,24,FALSE)*1000),0)</f>
        <v>0</v>
      </c>
      <c r="AS82" s="280"/>
      <c r="AT82" s="334">
        <f t="shared" si="18"/>
        <v>374799.99999999994</v>
      </c>
      <c r="AU82" s="281">
        <f t="shared" si="13"/>
        <v>0</v>
      </c>
    </row>
    <row r="83" spans="1:47" ht="15" customHeight="1" x14ac:dyDescent="0.25">
      <c r="A83" s="261">
        <v>80</v>
      </c>
      <c r="B83" s="5">
        <v>391840</v>
      </c>
      <c r="C83" s="6" t="s">
        <v>205</v>
      </c>
      <c r="D83" s="262"/>
      <c r="E83" s="263"/>
      <c r="F83" s="264"/>
      <c r="G83" s="262"/>
      <c r="H83" s="264"/>
      <c r="I83" s="262"/>
      <c r="J83" s="264"/>
      <c r="K83" s="262"/>
      <c r="L83" s="265">
        <f>IFERROR((VLOOKUP($B83,'АПП БАЗ (0)'!$B$8:$X$72,3,FALSE)),0)</f>
        <v>0</v>
      </c>
      <c r="M83" s="266">
        <f>IFERROR((VLOOKUP($B83,'АПП БАЗ (0)'!$B$8:$X$72,4,FALSE)*1000),0)-P83</f>
        <v>0</v>
      </c>
      <c r="N83" s="264"/>
      <c r="O83" s="262"/>
      <c r="P83" s="267">
        <v>0</v>
      </c>
      <c r="Q83" s="265">
        <f>IFERROR((VLOOKUP($B83,'АПП БАЗ (0)'!$B$8:$X$72,10,FALSE)),0)+IFERROR((VLOOKUP($B83,'АПП БАЗ (0)'!$B$8:$X$72,22,FALSE)),0)-S83</f>
        <v>0</v>
      </c>
      <c r="R83" s="266">
        <f>IFERROR((VLOOKUP($B83,'АПП БАЗ (0)'!$B$8:$X$72,11,FALSE)),0)*1000+IFERROR((VLOOKUP($B83,'АПП БАЗ (0)'!$B$8:$X$72,23,FALSE)),0)*1000-T83</f>
        <v>0</v>
      </c>
      <c r="S83" s="96">
        <v>80</v>
      </c>
      <c r="T83" s="97">
        <v>1592480</v>
      </c>
      <c r="U83" s="268">
        <v>0</v>
      </c>
      <c r="V83" s="269">
        <v>0</v>
      </c>
      <c r="W83" s="268">
        <v>0</v>
      </c>
      <c r="X83" s="269">
        <v>0</v>
      </c>
      <c r="Y83" s="268">
        <v>0</v>
      </c>
      <c r="Z83" s="269">
        <v>0</v>
      </c>
      <c r="AA83" s="268">
        <v>0</v>
      </c>
      <c r="AB83" s="269">
        <v>0</v>
      </c>
      <c r="AC83" s="284"/>
      <c r="AD83" s="285"/>
      <c r="AE83" s="284"/>
      <c r="AF83" s="285"/>
      <c r="AG83" s="284"/>
      <c r="AH83" s="285"/>
      <c r="AI83" s="272">
        <f t="shared" si="14"/>
        <v>0</v>
      </c>
      <c r="AJ83" s="272">
        <f t="shared" si="10"/>
        <v>80</v>
      </c>
      <c r="AK83" s="273">
        <f t="shared" si="15"/>
        <v>0</v>
      </c>
      <c r="AL83" s="274">
        <f t="shared" si="15"/>
        <v>0</v>
      </c>
      <c r="AM83" s="275">
        <f t="shared" si="11"/>
        <v>1592480</v>
      </c>
      <c r="AN83" s="276">
        <f t="shared" si="16"/>
        <v>1592480</v>
      </c>
      <c r="AO83" s="277">
        <f t="shared" si="12"/>
        <v>1592480</v>
      </c>
      <c r="AP83" s="279">
        <v>1592480</v>
      </c>
      <c r="AQ83" s="278">
        <f t="shared" si="17"/>
        <v>1592480</v>
      </c>
      <c r="AR83" s="279">
        <f>IFERROR((VLOOKUP(B83,#REF!,24,FALSE)*1000),0)</f>
        <v>0</v>
      </c>
      <c r="AS83" s="280"/>
      <c r="AT83" s="334">
        <f t="shared" si="18"/>
        <v>1592480</v>
      </c>
      <c r="AU83" s="281">
        <f t="shared" si="13"/>
        <v>0</v>
      </c>
    </row>
    <row r="84" spans="1:47" ht="15" customHeight="1" x14ac:dyDescent="0.25">
      <c r="A84" s="261">
        <v>81</v>
      </c>
      <c r="B84" s="5">
        <v>390002</v>
      </c>
      <c r="C84" s="6" t="s">
        <v>206</v>
      </c>
      <c r="D84" s="262"/>
      <c r="E84" s="263"/>
      <c r="F84" s="264"/>
      <c r="G84" s="262"/>
      <c r="H84" s="264"/>
      <c r="I84" s="262"/>
      <c r="J84" s="264"/>
      <c r="K84" s="262"/>
      <c r="L84" s="265">
        <f>IFERROR((VLOOKUP($B84,'АПП БАЗ (0)'!$B$8:$X$72,3,FALSE)),0)</f>
        <v>50</v>
      </c>
      <c r="M84" s="266">
        <f>IFERROR((VLOOKUP($B84,'АПП БАЗ (0)'!$B$8:$X$72,4,FALSE)*1000),0)-P84</f>
        <v>71194.5</v>
      </c>
      <c r="N84" s="264"/>
      <c r="O84" s="262"/>
      <c r="P84" s="267">
        <v>0</v>
      </c>
      <c r="Q84" s="265">
        <f>IFERROR((VLOOKUP($B84,'АПП БАЗ (0)'!$B$8:$X$72,10,FALSE)),0)+IFERROR((VLOOKUP($B84,'АПП БАЗ (0)'!$B$8:$X$72,22,FALSE)),0)</f>
        <v>30</v>
      </c>
      <c r="R84" s="266">
        <f>IFERROR((VLOOKUP($B84,'АПП БАЗ (0)'!$B$8:$X$72,11,FALSE)),0)*1000+IFERROR((VLOOKUP($B84,'АПП БАЗ (0)'!$B$8:$X$72,23,FALSE)),0)*1000</f>
        <v>9444.9</v>
      </c>
      <c r="S84" s="264"/>
      <c r="T84" s="262"/>
      <c r="U84" s="268">
        <v>0</v>
      </c>
      <c r="V84" s="269">
        <v>0</v>
      </c>
      <c r="W84" s="268">
        <v>0</v>
      </c>
      <c r="X84" s="269">
        <v>0</v>
      </c>
      <c r="Y84" s="268">
        <v>0</v>
      </c>
      <c r="Z84" s="269">
        <v>0</v>
      </c>
      <c r="AA84" s="268">
        <v>0</v>
      </c>
      <c r="AB84" s="269">
        <v>0</v>
      </c>
      <c r="AC84" s="284"/>
      <c r="AD84" s="285"/>
      <c r="AE84" s="284"/>
      <c r="AF84" s="285"/>
      <c r="AG84" s="284"/>
      <c r="AH84" s="285"/>
      <c r="AI84" s="272">
        <f t="shared" si="14"/>
        <v>50</v>
      </c>
      <c r="AJ84" s="272">
        <f t="shared" si="10"/>
        <v>30</v>
      </c>
      <c r="AK84" s="273">
        <f t="shared" si="15"/>
        <v>0</v>
      </c>
      <c r="AL84" s="274">
        <f t="shared" si="15"/>
        <v>0</v>
      </c>
      <c r="AM84" s="275">
        <f t="shared" si="11"/>
        <v>80639.399999999994</v>
      </c>
      <c r="AN84" s="276">
        <f t="shared" si="16"/>
        <v>80639.399999999994</v>
      </c>
      <c r="AO84" s="277">
        <f t="shared" si="12"/>
        <v>80639.399999999994</v>
      </c>
      <c r="AP84" s="279">
        <v>80639.399999999994</v>
      </c>
      <c r="AQ84" s="278">
        <f t="shared" si="17"/>
        <v>80639.399999999994</v>
      </c>
      <c r="AR84" s="279">
        <f>IFERROR((VLOOKUP(B84,#REF!,24,FALSE)*1000),0)</f>
        <v>0</v>
      </c>
      <c r="AS84" s="280"/>
      <c r="AT84" s="334">
        <f t="shared" si="18"/>
        <v>80639.399999999994</v>
      </c>
      <c r="AU84" s="281">
        <f t="shared" si="13"/>
        <v>0</v>
      </c>
    </row>
    <row r="85" spans="1:47" ht="15" customHeight="1" x14ac:dyDescent="0.25">
      <c r="A85" s="261">
        <v>82</v>
      </c>
      <c r="B85" s="5">
        <v>392580</v>
      </c>
      <c r="C85" s="6" t="s">
        <v>71</v>
      </c>
      <c r="D85" s="262"/>
      <c r="E85" s="263"/>
      <c r="F85" s="264"/>
      <c r="G85" s="262"/>
      <c r="H85" s="264"/>
      <c r="I85" s="262"/>
      <c r="J85" s="264"/>
      <c r="K85" s="262"/>
      <c r="L85" s="265">
        <f>IFERROR((VLOOKUP($B85,'АПП БАЗ (0)'!$B$8:$X$72,3,FALSE)),0)</f>
        <v>0</v>
      </c>
      <c r="M85" s="266">
        <f>IFERROR((VLOOKUP($B85,'АПП БАЗ (0)'!$B$8:$X$72,4,FALSE)*1000),0)</f>
        <v>0</v>
      </c>
      <c r="N85" s="264"/>
      <c r="O85" s="262"/>
      <c r="P85" s="267">
        <v>0</v>
      </c>
      <c r="Q85" s="265">
        <f>IFERROR((VLOOKUP($B85,'АПП БАЗ (0)'!$B$8:$X$72,10,FALSE)),0)+IFERROR((VLOOKUP($B85,'АПП БАЗ (0)'!$B$8:$X$72,22,FALSE)),0)</f>
        <v>0</v>
      </c>
      <c r="R85" s="266">
        <f>IFERROR((VLOOKUP($B85,'АПП БАЗ (0)'!$B$8:$X$72,11,FALSE)),0)*1000+IFERROR((VLOOKUP($B85,'АПП БАЗ (0)'!$B$8:$X$72,23,FALSE)),0)*1000</f>
        <v>0</v>
      </c>
      <c r="S85" s="264"/>
      <c r="T85" s="262"/>
      <c r="U85" s="268">
        <v>0</v>
      </c>
      <c r="V85" s="269">
        <v>0</v>
      </c>
      <c r="W85" s="268">
        <v>0</v>
      </c>
      <c r="X85" s="269">
        <v>0</v>
      </c>
      <c r="Y85" s="268">
        <v>0</v>
      </c>
      <c r="Z85" s="269">
        <v>0</v>
      </c>
      <c r="AA85" s="268">
        <v>0</v>
      </c>
      <c r="AB85" s="269">
        <v>0</v>
      </c>
      <c r="AC85" s="284"/>
      <c r="AD85" s="285"/>
      <c r="AE85" s="284"/>
      <c r="AF85" s="285"/>
      <c r="AG85" s="284"/>
      <c r="AH85" s="285"/>
      <c r="AI85" s="272">
        <f t="shared" si="14"/>
        <v>0</v>
      </c>
      <c r="AJ85" s="272">
        <f t="shared" si="10"/>
        <v>0</v>
      </c>
      <c r="AK85" s="273">
        <f t="shared" si="15"/>
        <v>0</v>
      </c>
      <c r="AL85" s="274">
        <f t="shared" si="15"/>
        <v>0</v>
      </c>
      <c r="AM85" s="275">
        <f t="shared" si="11"/>
        <v>0</v>
      </c>
      <c r="AN85" s="276">
        <f t="shared" si="16"/>
        <v>0</v>
      </c>
      <c r="AO85" s="277">
        <f t="shared" si="12"/>
        <v>0</v>
      </c>
      <c r="AP85" s="279">
        <v>9444.9</v>
      </c>
      <c r="AQ85" s="278">
        <f t="shared" si="17"/>
        <v>0</v>
      </c>
      <c r="AR85" s="279">
        <f>IFERROR((VLOOKUP(B85,#REF!,24,FALSE)*1000),0)</f>
        <v>0</v>
      </c>
      <c r="AS85" s="280"/>
      <c r="AT85" s="334">
        <f t="shared" si="18"/>
        <v>0</v>
      </c>
      <c r="AU85" s="281">
        <f t="shared" si="13"/>
        <v>-9444.9</v>
      </c>
    </row>
    <row r="86" spans="1:47" ht="15" customHeight="1" x14ac:dyDescent="0.25">
      <c r="A86" s="261">
        <v>83</v>
      </c>
      <c r="B86" s="5">
        <v>390001</v>
      </c>
      <c r="C86" s="6" t="s">
        <v>207</v>
      </c>
      <c r="D86" s="262"/>
      <c r="E86" s="263"/>
      <c r="F86" s="264"/>
      <c r="G86" s="262"/>
      <c r="H86" s="264"/>
      <c r="I86" s="262"/>
      <c r="J86" s="264"/>
      <c r="K86" s="262"/>
      <c r="L86" s="265">
        <f>IFERROR((VLOOKUP($B86,'АПП БАЗ (0)'!$B$8:$X$72,3,FALSE)),0)</f>
        <v>0</v>
      </c>
      <c r="M86" s="266">
        <f>IFERROR((VLOOKUP($B86,'АПП БАЗ (0)'!$B$8:$X$72,4,FALSE)*1000),0)-P86</f>
        <v>1910400</v>
      </c>
      <c r="N86" s="264"/>
      <c r="O86" s="262"/>
      <c r="P86" s="267">
        <v>0</v>
      </c>
      <c r="Q86" s="265">
        <f>IFERROR((VLOOKUP($B86,'АПП БАЗ (0)'!$B$8:$X$72,10,FALSE)),0)+IFERROR((VLOOKUP($B86,'АПП БАЗ (0)'!$B$8:$X$72,22,FALSE)),0)</f>
        <v>0</v>
      </c>
      <c r="R86" s="266">
        <f>IFERROR((VLOOKUP($B86,'АПП БАЗ (0)'!$B$8:$X$72,11,FALSE)),0)*1000+IFERROR((VLOOKUP($B86,'АПП БАЗ (0)'!$B$8:$X$72,23,FALSE)),0)*1000</f>
        <v>0</v>
      </c>
      <c r="S86" s="264"/>
      <c r="T86" s="262"/>
      <c r="U86" s="268">
        <v>0</v>
      </c>
      <c r="V86" s="269">
        <v>0</v>
      </c>
      <c r="W86" s="268">
        <v>0</v>
      </c>
      <c r="X86" s="269">
        <v>0</v>
      </c>
      <c r="Y86" s="268">
        <v>0</v>
      </c>
      <c r="Z86" s="269">
        <v>0</v>
      </c>
      <c r="AA86" s="268">
        <v>0</v>
      </c>
      <c r="AB86" s="269">
        <v>0</v>
      </c>
      <c r="AC86" s="284"/>
      <c r="AD86" s="285"/>
      <c r="AE86" s="284"/>
      <c r="AF86" s="285"/>
      <c r="AG86" s="284"/>
      <c r="AH86" s="285"/>
      <c r="AI86" s="272">
        <f t="shared" si="14"/>
        <v>0</v>
      </c>
      <c r="AJ86" s="272">
        <f t="shared" si="10"/>
        <v>0</v>
      </c>
      <c r="AK86" s="273">
        <f t="shared" si="15"/>
        <v>0</v>
      </c>
      <c r="AL86" s="274">
        <f t="shared" si="15"/>
        <v>0</v>
      </c>
      <c r="AM86" s="275">
        <f t="shared" si="11"/>
        <v>1910400</v>
      </c>
      <c r="AN86" s="276">
        <f t="shared" si="16"/>
        <v>1910400</v>
      </c>
      <c r="AO86" s="277">
        <f t="shared" si="12"/>
        <v>1910400</v>
      </c>
      <c r="AP86" s="279">
        <v>1910400</v>
      </c>
      <c r="AQ86" s="278">
        <f t="shared" si="17"/>
        <v>1910400</v>
      </c>
      <c r="AR86" s="279">
        <f>IFERROR((VLOOKUP(B86,#REF!,24,FALSE)*1000),0)</f>
        <v>0</v>
      </c>
      <c r="AS86" s="280"/>
      <c r="AT86" s="334">
        <f t="shared" si="18"/>
        <v>1910400</v>
      </c>
      <c r="AU86" s="281">
        <f t="shared" si="13"/>
        <v>0</v>
      </c>
    </row>
    <row r="87" spans="1:47" ht="15" customHeight="1" x14ac:dyDescent="0.25">
      <c r="A87" s="261">
        <v>84</v>
      </c>
      <c r="B87" s="5">
        <v>390010</v>
      </c>
      <c r="C87" s="6" t="s">
        <v>208</v>
      </c>
      <c r="D87" s="291"/>
      <c r="E87" s="292"/>
      <c r="F87" s="293"/>
      <c r="G87" s="291"/>
      <c r="H87" s="293"/>
      <c r="I87" s="291"/>
      <c r="J87" s="293"/>
      <c r="K87" s="291"/>
      <c r="L87" s="265">
        <f>IFERROR((VLOOKUP($B87,'АПП БАЗ (0)'!$B$8:$X$72,3,FALSE)),0)</f>
        <v>0</v>
      </c>
      <c r="M87" s="266">
        <f>IFERROR((VLOOKUP($B87,'АПП БАЗ (0)'!$B$8:$X$72,4,FALSE)*1000),0)</f>
        <v>0</v>
      </c>
      <c r="N87" s="293"/>
      <c r="O87" s="291"/>
      <c r="P87" s="267">
        <v>0</v>
      </c>
      <c r="Q87" s="265">
        <f>IFERROR((VLOOKUP($B87,'АПП БАЗ (0)'!$B$8:$X$72,10,FALSE)),0)+IFERROR((VLOOKUP($B87,'АПП БАЗ (0)'!$B$8:$X$72,22,FALSE)),0)</f>
        <v>30</v>
      </c>
      <c r="R87" s="266">
        <f>IFERROR((VLOOKUP($B87,'АПП БАЗ (0)'!$B$8:$X$72,11,FALSE)),0)*1000+IFERROR((VLOOKUP($B87,'АПП БАЗ (0)'!$B$8:$X$72,23,FALSE)),0)*1000</f>
        <v>9444.9</v>
      </c>
      <c r="S87" s="293"/>
      <c r="T87" s="291"/>
      <c r="U87" s="268">
        <v>0</v>
      </c>
      <c r="V87" s="269">
        <v>0</v>
      </c>
      <c r="W87" s="268">
        <v>0</v>
      </c>
      <c r="X87" s="269">
        <v>0</v>
      </c>
      <c r="Y87" s="268">
        <v>0</v>
      </c>
      <c r="Z87" s="269">
        <v>0</v>
      </c>
      <c r="AA87" s="268">
        <v>0</v>
      </c>
      <c r="AB87" s="269">
        <v>0</v>
      </c>
      <c r="AC87" s="284"/>
      <c r="AD87" s="285"/>
      <c r="AE87" s="284"/>
      <c r="AF87" s="285"/>
      <c r="AG87" s="284"/>
      <c r="AH87" s="285"/>
      <c r="AI87" s="272">
        <f t="shared" si="14"/>
        <v>0</v>
      </c>
      <c r="AJ87" s="272">
        <f t="shared" si="10"/>
        <v>30</v>
      </c>
      <c r="AK87" s="273">
        <f t="shared" si="15"/>
        <v>0</v>
      </c>
      <c r="AL87" s="274">
        <f t="shared" si="15"/>
        <v>0</v>
      </c>
      <c r="AM87" s="275">
        <f t="shared" si="11"/>
        <v>9444.9</v>
      </c>
      <c r="AN87" s="276">
        <f t="shared" si="16"/>
        <v>9444.9</v>
      </c>
      <c r="AO87" s="277">
        <f t="shared" si="12"/>
        <v>9444.9</v>
      </c>
      <c r="AP87" s="279">
        <v>9444.9</v>
      </c>
      <c r="AQ87" s="278">
        <f t="shared" si="17"/>
        <v>9444.9</v>
      </c>
      <c r="AR87" s="279">
        <f>IFERROR((VLOOKUP(B87,#REF!,24,FALSE)*1000),0)</f>
        <v>0</v>
      </c>
      <c r="AS87" s="280"/>
      <c r="AT87" s="334">
        <f t="shared" si="18"/>
        <v>9444.9</v>
      </c>
      <c r="AU87" s="281">
        <f t="shared" si="13"/>
        <v>0</v>
      </c>
    </row>
    <row r="88" spans="1:47" ht="15" customHeight="1" x14ac:dyDescent="0.25">
      <c r="A88" s="261">
        <v>85</v>
      </c>
      <c r="B88" s="5">
        <v>392760</v>
      </c>
      <c r="C88" s="6" t="s">
        <v>126</v>
      </c>
      <c r="D88" s="291"/>
      <c r="E88" s="292"/>
      <c r="F88" s="293"/>
      <c r="G88" s="291"/>
      <c r="H88" s="293"/>
      <c r="I88" s="291"/>
      <c r="J88" s="293"/>
      <c r="K88" s="291"/>
      <c r="L88" s="265">
        <f>IFERROR((VLOOKUP($B88,'АПП БАЗ (0)'!$B$8:$X$72,3,FALSE)),0)</f>
        <v>0</v>
      </c>
      <c r="M88" s="266">
        <f>IFERROR((VLOOKUP($B88,'АПП БАЗ (0)'!$B$8:$X$72,4,FALSE)*1000),0)</f>
        <v>0</v>
      </c>
      <c r="N88" s="294"/>
      <c r="O88" s="295"/>
      <c r="P88" s="267">
        <v>0</v>
      </c>
      <c r="Q88" s="265">
        <f>IFERROR((VLOOKUP($B88,'АПП БАЗ (0)'!$B$8:$X$72,10,FALSE)),0)+IFERROR((VLOOKUP($B88,'АПП БАЗ (0)'!$B$8:$X$72,22,FALSE)),0)</f>
        <v>0</v>
      </c>
      <c r="R88" s="266">
        <f>IFERROR((VLOOKUP($B88,'АПП БАЗ (0)'!$B$8:$X$72,11,FALSE)),0)*1000+IFERROR((VLOOKUP($B88,'АПП БАЗ (0)'!$B$8:$X$72,23,FALSE)),0)*1000</f>
        <v>0</v>
      </c>
      <c r="S88" s="293"/>
      <c r="T88" s="291"/>
      <c r="U88" s="268">
        <v>0</v>
      </c>
      <c r="V88" s="269">
        <v>0</v>
      </c>
      <c r="W88" s="268">
        <v>0</v>
      </c>
      <c r="X88" s="269">
        <v>0</v>
      </c>
      <c r="Y88" s="268">
        <v>0</v>
      </c>
      <c r="Z88" s="269">
        <v>0</v>
      </c>
      <c r="AA88" s="268">
        <v>0</v>
      </c>
      <c r="AB88" s="269">
        <v>0</v>
      </c>
      <c r="AC88" s="284"/>
      <c r="AD88" s="285"/>
      <c r="AE88" s="284"/>
      <c r="AF88" s="285"/>
      <c r="AG88" s="284"/>
      <c r="AH88" s="285"/>
      <c r="AI88" s="272">
        <f t="shared" si="14"/>
        <v>0</v>
      </c>
      <c r="AJ88" s="272">
        <f t="shared" si="10"/>
        <v>0</v>
      </c>
      <c r="AK88" s="273">
        <f t="shared" si="15"/>
        <v>0</v>
      </c>
      <c r="AL88" s="274">
        <f t="shared" si="15"/>
        <v>0</v>
      </c>
      <c r="AM88" s="275">
        <f t="shared" si="11"/>
        <v>0</v>
      </c>
      <c r="AN88" s="276">
        <f t="shared" si="16"/>
        <v>0</v>
      </c>
      <c r="AO88" s="277">
        <f t="shared" si="12"/>
        <v>0</v>
      </c>
      <c r="AP88" s="279">
        <v>0</v>
      </c>
      <c r="AQ88" s="278">
        <f t="shared" si="17"/>
        <v>0</v>
      </c>
      <c r="AR88" s="279">
        <f>IFERROR((VLOOKUP(B88,#REF!,24,FALSE)*1000),0)</f>
        <v>0</v>
      </c>
      <c r="AS88" s="280"/>
      <c r="AT88" s="334">
        <f t="shared" si="18"/>
        <v>0</v>
      </c>
      <c r="AU88" s="281">
        <f t="shared" si="13"/>
        <v>0</v>
      </c>
    </row>
    <row r="89" spans="1:47" x14ac:dyDescent="0.25">
      <c r="A89" s="261"/>
      <c r="B89" s="261"/>
      <c r="C89" s="296" t="s">
        <v>75</v>
      </c>
      <c r="D89" s="297">
        <f>SUM(D4:D88)</f>
        <v>2450020354.6500001</v>
      </c>
      <c r="E89" s="298">
        <f t="shared" ref="E89:AO89" si="19">SUM(E4:E88)</f>
        <v>213380717.88000003</v>
      </c>
      <c r="F89" s="299">
        <f t="shared" si="19"/>
        <v>1435931</v>
      </c>
      <c r="G89" s="300">
        <f t="shared" si="19"/>
        <v>0</v>
      </c>
      <c r="H89" s="299">
        <f t="shared" si="19"/>
        <v>1503737</v>
      </c>
      <c r="I89" s="300">
        <f t="shared" si="19"/>
        <v>0</v>
      </c>
      <c r="J89" s="299">
        <f t="shared" si="19"/>
        <v>408617</v>
      </c>
      <c r="K89" s="300">
        <f t="shared" si="19"/>
        <v>0</v>
      </c>
      <c r="L89" s="301">
        <f t="shared" si="19"/>
        <v>56913</v>
      </c>
      <c r="M89" s="302">
        <f t="shared" si="19"/>
        <v>318120376.77000004</v>
      </c>
      <c r="N89" s="299">
        <f t="shared" si="19"/>
        <v>4089</v>
      </c>
      <c r="O89" s="300">
        <f t="shared" si="19"/>
        <v>363511954.23000002</v>
      </c>
      <c r="P89" s="300">
        <f t="shared" si="19"/>
        <v>107190000</v>
      </c>
      <c r="Q89" s="301">
        <f>SUM(Q4:Q88)</f>
        <v>644026</v>
      </c>
      <c r="R89" s="302">
        <f>SUM(R4:R88)</f>
        <v>290688317.57999986</v>
      </c>
      <c r="S89" s="299">
        <f t="shared" si="19"/>
        <v>1730</v>
      </c>
      <c r="T89" s="300">
        <f t="shared" si="19"/>
        <v>34437380</v>
      </c>
      <c r="U89" s="301">
        <f t="shared" si="19"/>
        <v>0</v>
      </c>
      <c r="V89" s="302">
        <f t="shared" si="19"/>
        <v>0</v>
      </c>
      <c r="W89" s="301">
        <f t="shared" si="19"/>
        <v>0</v>
      </c>
      <c r="X89" s="302">
        <f t="shared" si="19"/>
        <v>0</v>
      </c>
      <c r="Y89" s="301">
        <f t="shared" si="19"/>
        <v>0</v>
      </c>
      <c r="Z89" s="302">
        <f t="shared" si="19"/>
        <v>0</v>
      </c>
      <c r="AA89" s="301">
        <f t="shared" si="19"/>
        <v>0</v>
      </c>
      <c r="AB89" s="302">
        <f t="shared" si="19"/>
        <v>0</v>
      </c>
      <c r="AC89" s="34">
        <f t="shared" si="19"/>
        <v>750810.43200000003</v>
      </c>
      <c r="AD89" s="303">
        <f t="shared" si="19"/>
        <v>293193000</v>
      </c>
      <c r="AE89" s="34">
        <f t="shared" si="19"/>
        <v>559594.46399999992</v>
      </c>
      <c r="AF89" s="303">
        <f t="shared" si="19"/>
        <v>215765000</v>
      </c>
      <c r="AG89" s="34">
        <f t="shared" si="19"/>
        <v>175239.42999999993</v>
      </c>
      <c r="AH89" s="303">
        <f t="shared" si="19"/>
        <v>15737000</v>
      </c>
      <c r="AI89" s="25">
        <f t="shared" si="19"/>
        <v>810532.6</v>
      </c>
      <c r="AJ89" s="25">
        <f>SUM(AJ4:AJ88)</f>
        <v>1380589.8940000006</v>
      </c>
      <c r="AK89" s="25">
        <f>SUM(AK4:AK88)</f>
        <v>0</v>
      </c>
      <c r="AL89" s="304">
        <f t="shared" si="19"/>
        <v>0</v>
      </c>
      <c r="AM89" s="305">
        <f t="shared" si="19"/>
        <v>1638643028.5800006</v>
      </c>
      <c r="AN89" s="300">
        <f t="shared" si="19"/>
        <v>4302044101.1099987</v>
      </c>
      <c r="AO89" s="303">
        <f t="shared" si="19"/>
        <v>1531453028.5800006</v>
      </c>
      <c r="AP89" s="300">
        <f>SUM(AP4:AP88)</f>
        <v>5996020544.6399994</v>
      </c>
      <c r="AQ89" s="300">
        <f>SUM(AQ4:AQ88)</f>
        <v>3777349101.1100001</v>
      </c>
      <c r="AR89" s="300">
        <f>SUM(AR4:AR88)</f>
        <v>0</v>
      </c>
      <c r="AS89" s="300">
        <f t="shared" ref="AS89:AU89" si="20">SUM(AS4:AS88)</f>
        <v>0</v>
      </c>
      <c r="AT89" s="305">
        <f t="shared" si="20"/>
        <v>3777349101.1100001</v>
      </c>
      <c r="AU89" s="300">
        <f t="shared" si="20"/>
        <v>-1693976443.5299997</v>
      </c>
    </row>
    <row r="90" spans="1:47" x14ac:dyDescent="0.25">
      <c r="A90" s="306"/>
      <c r="B90" s="306"/>
      <c r="C90" s="307"/>
      <c r="D90" s="297"/>
      <c r="E90" s="298"/>
      <c r="F90" s="299"/>
      <c r="G90" s="300"/>
      <c r="H90" s="299"/>
      <c r="I90" s="300"/>
      <c r="J90" s="299"/>
      <c r="K90" s="300"/>
      <c r="L90" s="301"/>
      <c r="M90" s="302"/>
      <c r="N90" s="299"/>
      <c r="O90" s="300"/>
      <c r="P90" s="300"/>
      <c r="Q90" s="301"/>
      <c r="R90" s="302"/>
      <c r="S90" s="299"/>
      <c r="T90" s="300"/>
      <c r="U90" s="301"/>
      <c r="V90" s="302"/>
      <c r="W90" s="301"/>
      <c r="X90" s="302"/>
      <c r="Y90" s="301"/>
      <c r="Z90" s="302"/>
      <c r="AA90" s="301"/>
      <c r="AB90" s="302"/>
      <c r="AC90" s="34"/>
      <c r="AD90" s="303"/>
      <c r="AE90" s="34"/>
      <c r="AF90" s="303"/>
      <c r="AG90" s="34"/>
      <c r="AH90" s="303"/>
      <c r="AI90" s="305"/>
      <c r="AJ90" s="305"/>
      <c r="AK90" s="304"/>
      <c r="AL90" s="304"/>
      <c r="AM90" s="305"/>
      <c r="AN90" s="300"/>
      <c r="AO90" s="303"/>
      <c r="AQ90" s="308"/>
      <c r="AR90" s="308"/>
      <c r="AS90" s="309"/>
      <c r="AU90" s="281"/>
    </row>
    <row r="91" spans="1:47" x14ac:dyDescent="0.25">
      <c r="C91" s="68" t="s">
        <v>178</v>
      </c>
      <c r="D91" s="310">
        <v>14290903.139999999</v>
      </c>
      <c r="E91" s="298">
        <v>165123264.64000005</v>
      </c>
      <c r="F91" s="7"/>
      <c r="G91" s="311"/>
      <c r="H91" s="7"/>
      <c r="I91" s="311"/>
      <c r="J91" s="7"/>
      <c r="K91" s="311"/>
      <c r="L91" s="301"/>
      <c r="M91" s="302"/>
      <c r="N91" s="7">
        <f>'АПП БАЗ (0)'!F73</f>
        <v>4089</v>
      </c>
      <c r="O91" s="311">
        <f>'АПП БАЗ (0)'!G73*1000</f>
        <v>363511954.23000002</v>
      </c>
      <c r="P91" s="311">
        <v>430531500</v>
      </c>
      <c r="Q91" s="301"/>
      <c r="R91" s="302"/>
      <c r="S91" s="7">
        <v>1730</v>
      </c>
      <c r="T91" s="311">
        <v>34437.380000000005</v>
      </c>
      <c r="U91" s="312"/>
      <c r="V91" s="313"/>
      <c r="W91" s="312">
        <v>0</v>
      </c>
      <c r="X91" s="313">
        <v>0</v>
      </c>
      <c r="Y91" s="312"/>
      <c r="Z91" s="313"/>
      <c r="AA91" s="312"/>
      <c r="AB91" s="313"/>
      <c r="AC91" s="314">
        <v>0</v>
      </c>
      <c r="AD91" s="315">
        <v>0</v>
      </c>
      <c r="AE91" s="314">
        <v>1908.6166255442913</v>
      </c>
      <c r="AF91" s="315">
        <v>0</v>
      </c>
      <c r="AG91" s="314">
        <v>812.17727664384358</v>
      </c>
      <c r="AH91" s="315">
        <v>0</v>
      </c>
      <c r="AI91" s="316"/>
      <c r="AJ91" s="316"/>
      <c r="AK91" s="317">
        <v>0</v>
      </c>
      <c r="AL91" s="317">
        <v>0</v>
      </c>
      <c r="AM91" s="316"/>
      <c r="AN91" s="311"/>
      <c r="AO91" s="315"/>
      <c r="AQ91" s="318">
        <f>AN89-AD89-AF89-AH89</f>
        <v>3777349101.1099987</v>
      </c>
      <c r="AR91" s="319"/>
      <c r="AS91" s="259"/>
    </row>
    <row r="92" spans="1:47" s="320" customFormat="1" x14ac:dyDescent="0.25">
      <c r="C92" s="202" t="s">
        <v>213</v>
      </c>
      <c r="D92" s="318">
        <f>D89-D91</f>
        <v>2435729451.5100002</v>
      </c>
      <c r="E92" s="228">
        <f t="shared" ref="E92:AH92" si="21">E89-E91</f>
        <v>48257453.23999998</v>
      </c>
      <c r="F92" s="321">
        <f t="shared" si="21"/>
        <v>1435931</v>
      </c>
      <c r="G92" s="318">
        <f t="shared" si="21"/>
        <v>0</v>
      </c>
      <c r="H92" s="321">
        <f t="shared" si="21"/>
        <v>1503737</v>
      </c>
      <c r="I92" s="318">
        <f t="shared" si="21"/>
        <v>0</v>
      </c>
      <c r="J92" s="321">
        <f t="shared" si="21"/>
        <v>408617</v>
      </c>
      <c r="K92" s="318">
        <f t="shared" si="21"/>
        <v>0</v>
      </c>
      <c r="L92" s="233">
        <f t="shared" si="21"/>
        <v>56913</v>
      </c>
      <c r="M92" s="234">
        <f t="shared" si="21"/>
        <v>318120376.77000004</v>
      </c>
      <c r="N92" s="321">
        <f t="shared" si="21"/>
        <v>0</v>
      </c>
      <c r="O92" s="318">
        <f t="shared" si="21"/>
        <v>0</v>
      </c>
      <c r="P92" s="318">
        <f t="shared" si="21"/>
        <v>-323341500</v>
      </c>
      <c r="Q92" s="233">
        <f>Q89-Q91</f>
        <v>644026</v>
      </c>
      <c r="R92" s="234">
        <f>R89-R91</f>
        <v>290688317.57999986</v>
      </c>
      <c r="S92" s="321">
        <f t="shared" si="21"/>
        <v>0</v>
      </c>
      <c r="T92" s="318">
        <f t="shared" si="21"/>
        <v>34402942.619999997</v>
      </c>
      <c r="U92" s="321">
        <f t="shared" si="21"/>
        <v>0</v>
      </c>
      <c r="V92" s="318">
        <f t="shared" si="21"/>
        <v>0</v>
      </c>
      <c r="W92" s="321">
        <f t="shared" si="21"/>
        <v>0</v>
      </c>
      <c r="X92" s="318">
        <f t="shared" si="21"/>
        <v>0</v>
      </c>
      <c r="Y92" s="321">
        <f t="shared" si="21"/>
        <v>0</v>
      </c>
      <c r="Z92" s="318">
        <f t="shared" si="21"/>
        <v>0</v>
      </c>
      <c r="AA92" s="321">
        <f t="shared" si="21"/>
        <v>0</v>
      </c>
      <c r="AB92" s="318">
        <f t="shared" si="21"/>
        <v>0</v>
      </c>
      <c r="AC92" s="321">
        <f t="shared" si="21"/>
        <v>750810.43200000003</v>
      </c>
      <c r="AD92" s="318">
        <f t="shared" si="21"/>
        <v>293193000</v>
      </c>
      <c r="AE92" s="321">
        <f t="shared" si="21"/>
        <v>557685.84737445565</v>
      </c>
      <c r="AF92" s="318">
        <f t="shared" si="21"/>
        <v>215765000</v>
      </c>
      <c r="AG92" s="321">
        <f t="shared" si="21"/>
        <v>174427.2527233561</v>
      </c>
      <c r="AH92" s="318">
        <f t="shared" si="21"/>
        <v>15737000</v>
      </c>
      <c r="AI92" s="318"/>
      <c r="AJ92" s="318"/>
      <c r="AK92" s="322"/>
      <c r="AL92" s="322"/>
      <c r="AM92" s="318">
        <f>AM89-AM91</f>
        <v>1638643028.5800006</v>
      </c>
      <c r="AN92" s="318">
        <f>AN89-AN91</f>
        <v>4302044101.1099987</v>
      </c>
      <c r="AO92" s="318">
        <f>AO89-AO91</f>
        <v>1531453028.5800006</v>
      </c>
      <c r="AQ92" s="318"/>
      <c r="AS92" s="323"/>
      <c r="AT92" s="339"/>
      <c r="AU92" s="41"/>
    </row>
    <row r="93" spans="1:47" x14ac:dyDescent="0.25">
      <c r="F93" s="325"/>
      <c r="G93" s="158"/>
      <c r="H93" s="325"/>
      <c r="I93" s="326"/>
      <c r="AN93" s="155"/>
      <c r="AQ93" s="40">
        <f>AQ91-AQ89</f>
        <v>0</v>
      </c>
    </row>
    <row r="94" spans="1:47" x14ac:dyDescent="0.25">
      <c r="C94" s="259"/>
      <c r="D94" s="331">
        <f>D89+E89</f>
        <v>2663401072.5300002</v>
      </c>
      <c r="G94" s="332"/>
      <c r="AH94" s="333">
        <f>AD89+AF89+AH89</f>
        <v>524695000</v>
      </c>
      <c r="AI94" s="334"/>
      <c r="AJ94" s="334"/>
      <c r="AK94" s="335"/>
      <c r="AL94" s="335"/>
      <c r="AM94" s="334"/>
      <c r="AQ94" s="308"/>
    </row>
    <row r="95" spans="1:47" x14ac:dyDescent="0.25">
      <c r="AH95" s="333" t="e">
        <f>#REF!*1000</f>
        <v>#REF!</v>
      </c>
    </row>
    <row r="96" spans="1:47" x14ac:dyDescent="0.25">
      <c r="AH96" s="333" t="e">
        <f>AH95-AH94</f>
        <v>#REF!</v>
      </c>
      <c r="AQ96" s="308"/>
    </row>
    <row r="97" spans="43:43" x14ac:dyDescent="0.25">
      <c r="AQ97" s="308"/>
    </row>
  </sheetData>
  <autoFilter ref="A3:AU89" xr:uid="{5397B191-A986-4C1E-AFB5-4990C3165180}"/>
  <mergeCells count="18">
    <mergeCell ref="J1:K1"/>
    <mergeCell ref="A1:A2"/>
    <mergeCell ref="B1:B2"/>
    <mergeCell ref="C1:C2"/>
    <mergeCell ref="F1:G1"/>
    <mergeCell ref="H1:I1"/>
    <mergeCell ref="AI1:AM1"/>
    <mergeCell ref="L1:M1"/>
    <mergeCell ref="N1:O1"/>
    <mergeCell ref="Q1:R1"/>
    <mergeCell ref="S1:T1"/>
    <mergeCell ref="U1:V1"/>
    <mergeCell ref="W1:X1"/>
    <mergeCell ref="Y1:Z1"/>
    <mergeCell ref="AA1:AB1"/>
    <mergeCell ref="AC1:AD1"/>
    <mergeCell ref="AE1:AF1"/>
    <mergeCell ref="AG1:AH1"/>
  </mergeCells>
  <pageMargins left="0.19685039370078741" right="0.19685039370078741" top="0.19685039370078741" bottom="0.78740157480314965" header="0.23622047244094491" footer="0.47244094488188981"/>
  <pageSetup paperSize="9" scale="45" fitToWidth="2" fitToHeight="2" orientation="landscape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86"/>
  <sheetViews>
    <sheetView zoomScaleNormal="100" workbookViewId="0">
      <pane xSplit="5" ySplit="7" topLeftCell="K8" activePane="bottomRight" state="frozen"/>
      <selection pane="topRight" activeCell="F1" sqref="F1"/>
      <selection pane="bottomLeft" activeCell="A8" sqref="A8"/>
      <selection pane="bottomRight" activeCell="AA10" sqref="AA10"/>
    </sheetView>
  </sheetViews>
  <sheetFormatPr defaultColWidth="9.140625" defaultRowHeight="15" x14ac:dyDescent="0.25"/>
  <cols>
    <col min="1" max="1" width="5.85546875" style="47" customWidth="1"/>
    <col min="2" max="2" width="7.85546875" style="47" customWidth="1"/>
    <col min="3" max="3" width="35.28515625" style="12" customWidth="1"/>
    <col min="4" max="4" width="13.7109375" style="12" customWidth="1"/>
    <col min="5" max="10" width="13.42578125" style="12" customWidth="1"/>
    <col min="11" max="11" width="11.5703125" style="12" customWidth="1"/>
    <col min="12" max="12" width="15.42578125" style="12" customWidth="1"/>
    <col min="13" max="14" width="13.28515625" style="12" customWidth="1"/>
    <col min="15" max="15" width="16.28515625" style="46" customWidth="1"/>
    <col min="16" max="16" width="12" style="4" customWidth="1"/>
    <col min="17" max="17" width="8.5703125" style="12" customWidth="1"/>
    <col min="18" max="18" width="12.140625" style="48" customWidth="1"/>
    <col min="19" max="19" width="4.85546875" style="12" customWidth="1"/>
    <col min="20" max="20" width="13.5703125" style="12" customWidth="1"/>
    <col min="21" max="21" width="9.140625" style="12"/>
    <col min="22" max="22" width="5.42578125" style="12" customWidth="1"/>
    <col min="23" max="24" width="9.140625" style="12"/>
    <col min="25" max="25" width="13.140625" style="12" bestFit="1" customWidth="1"/>
    <col min="26" max="26" width="9.140625" style="12"/>
    <col min="27" max="27" width="10.42578125" style="12" bestFit="1" customWidth="1"/>
    <col min="28" max="16384" width="9.140625" style="12"/>
  </cols>
  <sheetData>
    <row r="1" spans="1:26" ht="15.75" x14ac:dyDescent="0.25">
      <c r="A1" s="1"/>
      <c r="B1" s="1"/>
      <c r="C1" s="2" t="s">
        <v>82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0</v>
      </c>
    </row>
    <row r="2" spans="1:26" ht="15.75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 t="s">
        <v>1</v>
      </c>
    </row>
    <row r="3" spans="1:26" ht="15.75" x14ac:dyDescent="0.2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 t="s">
        <v>2</v>
      </c>
    </row>
    <row r="4" spans="1:26" ht="18.75" x14ac:dyDescent="0.25">
      <c r="A4" s="641" t="s">
        <v>78</v>
      </c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</row>
    <row r="5" spans="1:26" ht="14.45" customHeight="1" x14ac:dyDescent="0.25">
      <c r="A5" s="642" t="s">
        <v>3</v>
      </c>
      <c r="B5" s="642"/>
      <c r="C5" s="642"/>
      <c r="D5" s="642"/>
      <c r="E5" s="642"/>
      <c r="F5" s="642"/>
      <c r="G5" s="642"/>
      <c r="H5" s="642"/>
      <c r="I5" s="642"/>
      <c r="J5" s="642"/>
      <c r="K5" s="642"/>
      <c r="L5" s="642"/>
      <c r="M5" s="642"/>
      <c r="N5" s="642"/>
      <c r="O5" s="642"/>
    </row>
    <row r="6" spans="1:26" ht="49.5" customHeight="1" x14ac:dyDescent="0.25">
      <c r="A6" s="643" t="s">
        <v>4</v>
      </c>
      <c r="B6" s="644" t="s">
        <v>5</v>
      </c>
      <c r="C6" s="643" t="s">
        <v>6</v>
      </c>
      <c r="D6" s="639" t="s">
        <v>7</v>
      </c>
      <c r="E6" s="640"/>
      <c r="F6" s="645" t="s">
        <v>8</v>
      </c>
      <c r="G6" s="645"/>
      <c r="H6" s="90" t="s">
        <v>109</v>
      </c>
      <c r="I6" s="645" t="s">
        <v>110</v>
      </c>
      <c r="J6" s="645"/>
      <c r="K6" s="635" t="s">
        <v>9</v>
      </c>
      <c r="L6" s="636"/>
      <c r="M6" s="639" t="s">
        <v>10</v>
      </c>
      <c r="N6" s="640"/>
      <c r="O6" s="638" t="s">
        <v>11</v>
      </c>
      <c r="Q6" s="639" t="s">
        <v>85</v>
      </c>
      <c r="R6" s="640"/>
      <c r="T6" s="638" t="s">
        <v>86</v>
      </c>
      <c r="U6" s="80" t="s">
        <v>108</v>
      </c>
      <c r="V6" s="81"/>
      <c r="W6" s="80" t="s">
        <v>107</v>
      </c>
    </row>
    <row r="7" spans="1:26" ht="34.5" customHeight="1" x14ac:dyDescent="0.25">
      <c r="A7" s="643"/>
      <c r="B7" s="644"/>
      <c r="C7" s="643"/>
      <c r="D7" s="77" t="s">
        <v>12</v>
      </c>
      <c r="E7" s="77" t="s">
        <v>13</v>
      </c>
      <c r="F7" s="77" t="s">
        <v>12</v>
      </c>
      <c r="G7" s="77" t="s">
        <v>13</v>
      </c>
      <c r="H7" s="77" t="s">
        <v>13</v>
      </c>
      <c r="I7" s="77" t="s">
        <v>12</v>
      </c>
      <c r="J7" s="77" t="s">
        <v>13</v>
      </c>
      <c r="K7" s="77" t="s">
        <v>12</v>
      </c>
      <c r="L7" s="77" t="s">
        <v>13</v>
      </c>
      <c r="M7" s="77" t="s">
        <v>12</v>
      </c>
      <c r="N7" s="77" t="s">
        <v>13</v>
      </c>
      <c r="O7" s="638"/>
      <c r="Q7" s="77" t="s">
        <v>12</v>
      </c>
      <c r="R7" s="52" t="s">
        <v>13</v>
      </c>
      <c r="T7" s="638"/>
      <c r="U7" s="70" t="s">
        <v>97</v>
      </c>
      <c r="V7" s="82"/>
      <c r="W7" s="70" t="s">
        <v>97</v>
      </c>
    </row>
    <row r="8" spans="1:26" ht="30" x14ac:dyDescent="0.25">
      <c r="A8" s="5">
        <v>1</v>
      </c>
      <c r="B8" s="5">
        <v>390470</v>
      </c>
      <c r="C8" s="67" t="s">
        <v>14</v>
      </c>
      <c r="D8" s="7">
        <f>'АПП БАЗ (0)'!D8</f>
        <v>0</v>
      </c>
      <c r="E8" s="8">
        <f>Y8</f>
        <v>105206.98420000001</v>
      </c>
      <c r="F8" s="7"/>
      <c r="G8" s="8"/>
      <c r="H8" s="8"/>
      <c r="I8" s="8"/>
      <c r="J8" s="8"/>
      <c r="K8" s="7">
        <v>161523</v>
      </c>
      <c r="L8" s="8">
        <v>62206.83</v>
      </c>
      <c r="M8" s="7">
        <v>0</v>
      </c>
      <c r="N8" s="8">
        <v>0</v>
      </c>
      <c r="O8" s="9">
        <f t="shared" ref="O8:O39" si="0">E8+L8+N8</f>
        <v>167413.81420000002</v>
      </c>
      <c r="Q8" s="7">
        <v>0</v>
      </c>
      <c r="R8" s="8">
        <v>0</v>
      </c>
      <c r="T8" s="56">
        <v>167413.81420000002</v>
      </c>
      <c r="U8" s="84">
        <f>IFERROR((VLOOKUP($B8,#REF!,18,FALSE)),0)</f>
        <v>0</v>
      </c>
      <c r="V8" s="83"/>
      <c r="W8" s="84">
        <f>IFERROR((VLOOKUP($B8,#REF!,21,FALSE)),0)</f>
        <v>0</v>
      </c>
      <c r="Y8" s="8">
        <v>105206.98420000001</v>
      </c>
    </row>
    <row r="9" spans="1:26" ht="30" x14ac:dyDescent="0.25">
      <c r="A9" s="5">
        <v>2</v>
      </c>
      <c r="B9" s="5">
        <v>391610</v>
      </c>
      <c r="C9" s="67" t="s">
        <v>15</v>
      </c>
      <c r="D9" s="7">
        <f>'АПП БАЗ (0)'!D9</f>
        <v>1300</v>
      </c>
      <c r="E9" s="8">
        <f t="shared" ref="E9:E70" si="1">Y9</f>
        <v>50762.545100000003</v>
      </c>
      <c r="F9" s="10"/>
      <c r="G9" s="10"/>
      <c r="H9" s="10"/>
      <c r="I9" s="10"/>
      <c r="J9" s="10"/>
      <c r="K9" s="7">
        <v>23800</v>
      </c>
      <c r="L9" s="8">
        <v>8558.7800000000007</v>
      </c>
      <c r="M9" s="7">
        <v>0</v>
      </c>
      <c r="N9" s="8">
        <v>0</v>
      </c>
      <c r="O9" s="9">
        <f t="shared" si="0"/>
        <v>59321.325100000002</v>
      </c>
      <c r="Q9" s="7">
        <v>0</v>
      </c>
      <c r="R9" s="8">
        <v>0</v>
      </c>
      <c r="T9" s="56">
        <v>59321.325100000002</v>
      </c>
      <c r="U9" s="84">
        <f>IFERROR((VLOOKUP($B9,#REF!,18,FALSE)),0)</f>
        <v>0</v>
      </c>
      <c r="V9" s="83"/>
      <c r="W9" s="84">
        <f>IFERROR((VLOOKUP($B9,#REF!,21,FALSE)),0)</f>
        <v>0</v>
      </c>
      <c r="Y9" s="8">
        <v>50762.545100000003</v>
      </c>
    </row>
    <row r="10" spans="1:26" ht="30" x14ac:dyDescent="0.25">
      <c r="A10" s="5">
        <v>3</v>
      </c>
      <c r="B10" s="5">
        <v>390800</v>
      </c>
      <c r="C10" s="67" t="s">
        <v>16</v>
      </c>
      <c r="D10" s="7">
        <f>'АПП БАЗ (0)'!D10</f>
        <v>0</v>
      </c>
      <c r="E10" s="8">
        <f t="shared" si="1"/>
        <v>34650.688620000001</v>
      </c>
      <c r="F10" s="10"/>
      <c r="G10" s="10"/>
      <c r="H10" s="10"/>
      <c r="I10" s="10"/>
      <c r="J10" s="10"/>
      <c r="K10" s="7">
        <v>57800</v>
      </c>
      <c r="L10" s="8">
        <v>24438.16</v>
      </c>
      <c r="M10" s="7">
        <v>22000</v>
      </c>
      <c r="N10" s="8">
        <v>20772.02</v>
      </c>
      <c r="O10" s="9">
        <f t="shared" si="0"/>
        <v>79860.868620000008</v>
      </c>
      <c r="Q10" s="7">
        <v>22000</v>
      </c>
      <c r="R10" s="8">
        <v>20772.02</v>
      </c>
      <c r="T10" s="56">
        <v>79860.868620000008</v>
      </c>
      <c r="U10" s="84">
        <f>IFERROR((VLOOKUP($B10,#REF!,18,FALSE)),0)</f>
        <v>0</v>
      </c>
      <c r="V10" s="83"/>
      <c r="W10" s="84">
        <f>IFERROR((VLOOKUP($B10,#REF!,21,FALSE)),0)</f>
        <v>0</v>
      </c>
      <c r="Y10" s="8">
        <v>34650.688620000001</v>
      </c>
    </row>
    <row r="11" spans="1:26" ht="30" x14ac:dyDescent="0.25">
      <c r="A11" s="5">
        <v>4</v>
      </c>
      <c r="B11" s="5">
        <v>390050</v>
      </c>
      <c r="C11" s="67" t="s">
        <v>17</v>
      </c>
      <c r="D11" s="7">
        <f>'АПП БАЗ (0)'!D11</f>
        <v>10200</v>
      </c>
      <c r="E11" s="8">
        <f t="shared" si="1"/>
        <v>52157.182999999997</v>
      </c>
      <c r="F11" s="10"/>
      <c r="G11" s="10"/>
      <c r="H11" s="10"/>
      <c r="I11" s="10"/>
      <c r="J11" s="10"/>
      <c r="K11" s="7">
        <v>39500</v>
      </c>
      <c r="L11" s="8">
        <v>8079.36</v>
      </c>
      <c r="M11" s="7">
        <v>0</v>
      </c>
      <c r="N11" s="8">
        <v>0</v>
      </c>
      <c r="O11" s="9">
        <f t="shared" si="0"/>
        <v>60236.542999999998</v>
      </c>
      <c r="Q11" s="7">
        <v>0</v>
      </c>
      <c r="R11" s="8">
        <v>0</v>
      </c>
      <c r="T11" s="56">
        <v>60236.542999999998</v>
      </c>
      <c r="U11" s="84">
        <f>IFERROR((VLOOKUP($B11,#REF!,18,FALSE)),0)</f>
        <v>0</v>
      </c>
      <c r="V11" s="83"/>
      <c r="W11" s="84">
        <f>IFERROR((VLOOKUP($B11,#REF!,21,FALSE)),0)</f>
        <v>0</v>
      </c>
      <c r="Y11" s="8">
        <v>52157.182999999997</v>
      </c>
    </row>
    <row r="12" spans="1:26" x14ac:dyDescent="0.25">
      <c r="A12" s="5">
        <v>5</v>
      </c>
      <c r="B12" s="5">
        <v>391100</v>
      </c>
      <c r="C12" s="67" t="s">
        <v>18</v>
      </c>
      <c r="D12" s="7">
        <f>'АПП БАЗ (0)'!D12</f>
        <v>0</v>
      </c>
      <c r="E12" s="8">
        <f t="shared" si="1"/>
        <v>38424.015500000001</v>
      </c>
      <c r="F12" s="10"/>
      <c r="G12" s="10"/>
      <c r="H12" s="10"/>
      <c r="I12" s="10"/>
      <c r="J12" s="10"/>
      <c r="K12" s="7">
        <v>5043</v>
      </c>
      <c r="L12" s="8">
        <v>1796.39</v>
      </c>
      <c r="M12" s="7">
        <v>0</v>
      </c>
      <c r="N12" s="8">
        <v>0</v>
      </c>
      <c r="O12" s="9">
        <f t="shared" si="0"/>
        <v>40220.405500000001</v>
      </c>
      <c r="Q12" s="7">
        <v>0</v>
      </c>
      <c r="R12" s="8">
        <v>0</v>
      </c>
      <c r="T12" s="56">
        <v>40220.405500000001</v>
      </c>
      <c r="U12" s="84">
        <f>IFERROR((VLOOKUP($B12,#REF!,18,FALSE)),0)</f>
        <v>0</v>
      </c>
      <c r="V12" s="83"/>
      <c r="W12" s="84">
        <f>IFERROR((VLOOKUP($B12,#REF!,21,FALSE)),0)</f>
        <v>0</v>
      </c>
      <c r="Y12" s="8">
        <v>38424.015500000001</v>
      </c>
    </row>
    <row r="13" spans="1:26" ht="30" x14ac:dyDescent="0.25">
      <c r="A13" s="5">
        <v>6</v>
      </c>
      <c r="B13" s="5">
        <v>390930</v>
      </c>
      <c r="C13" s="67" t="s">
        <v>19</v>
      </c>
      <c r="D13" s="7">
        <f>'АПП БАЗ (0)'!D13</f>
        <v>25500</v>
      </c>
      <c r="E13" s="8">
        <f t="shared" si="1"/>
        <v>0</v>
      </c>
      <c r="F13" s="10"/>
      <c r="G13" s="10"/>
      <c r="H13" s="10"/>
      <c r="I13" s="10"/>
      <c r="J13" s="10"/>
      <c r="K13" s="7">
        <v>23365</v>
      </c>
      <c r="L13" s="8">
        <v>10885.140000000001</v>
      </c>
      <c r="M13" s="7">
        <v>0</v>
      </c>
      <c r="N13" s="8">
        <v>0</v>
      </c>
      <c r="O13" s="9">
        <f t="shared" si="0"/>
        <v>10885.140000000001</v>
      </c>
      <c r="Q13" s="7">
        <v>0</v>
      </c>
      <c r="R13" s="8">
        <v>0</v>
      </c>
      <c r="T13" s="56">
        <v>10885.140000000001</v>
      </c>
      <c r="U13" s="84">
        <f>IFERROR((VLOOKUP($B13,#REF!,18,FALSE)),0)</f>
        <v>0</v>
      </c>
      <c r="V13" s="83"/>
      <c r="W13" s="84">
        <f>IFERROR((VLOOKUP($B13,#REF!,21,FALSE)),0)</f>
        <v>0</v>
      </c>
      <c r="Y13" s="8">
        <v>0</v>
      </c>
    </row>
    <row r="14" spans="1:26" ht="45" x14ac:dyDescent="0.25">
      <c r="A14" s="5">
        <v>7</v>
      </c>
      <c r="B14" s="5">
        <v>390762</v>
      </c>
      <c r="C14" s="67" t="s">
        <v>83</v>
      </c>
      <c r="D14" s="7">
        <f>'АПП БАЗ (0)'!D14</f>
        <v>0</v>
      </c>
      <c r="E14" s="8">
        <f t="shared" si="1"/>
        <v>0</v>
      </c>
      <c r="F14" s="10"/>
      <c r="G14" s="10"/>
      <c r="H14" s="10"/>
      <c r="I14" s="10"/>
      <c r="J14" s="10"/>
      <c r="K14" s="7">
        <v>4870</v>
      </c>
      <c r="L14" s="8">
        <v>4531.6899999999996</v>
      </c>
      <c r="M14" s="7">
        <v>0</v>
      </c>
      <c r="N14" s="8">
        <v>0</v>
      </c>
      <c r="O14" s="9">
        <f t="shared" si="0"/>
        <v>4531.6899999999996</v>
      </c>
      <c r="Q14" s="7">
        <v>0</v>
      </c>
      <c r="R14" s="8">
        <v>0</v>
      </c>
      <c r="T14" s="56">
        <v>4531.6899999999996</v>
      </c>
      <c r="U14" s="84">
        <f>IFERROR((VLOOKUP($B14,#REF!,18,FALSE)),0)</f>
        <v>0</v>
      </c>
      <c r="V14" s="83"/>
      <c r="W14" s="84">
        <f>IFERROR((VLOOKUP($B14,#REF!,21,FALSE)),0)</f>
        <v>0</v>
      </c>
      <c r="Y14" s="8">
        <v>0</v>
      </c>
    </row>
    <row r="15" spans="1:26" ht="30" x14ac:dyDescent="0.25">
      <c r="A15" s="5">
        <v>8</v>
      </c>
      <c r="B15" s="5">
        <v>390440</v>
      </c>
      <c r="C15" s="6" t="s">
        <v>20</v>
      </c>
      <c r="D15" s="7">
        <f>'АПП БАЗ (0)'!D15</f>
        <v>0</v>
      </c>
      <c r="E15" s="8">
        <f t="shared" si="1"/>
        <v>157284.39749999999</v>
      </c>
      <c r="F15" s="10"/>
      <c r="G15" s="10"/>
      <c r="H15" s="10"/>
      <c r="I15" s="10"/>
      <c r="J15" s="10"/>
      <c r="K15" s="7">
        <v>204180</v>
      </c>
      <c r="L15" s="8">
        <v>132824.87</v>
      </c>
      <c r="M15" s="7">
        <v>38078</v>
      </c>
      <c r="N15" s="8">
        <v>28931.008000000002</v>
      </c>
      <c r="O15" s="9">
        <f t="shared" si="0"/>
        <v>319040.27549999999</v>
      </c>
      <c r="Q15" s="7">
        <v>38078</v>
      </c>
      <c r="R15" s="8">
        <v>28931.008000000002</v>
      </c>
      <c r="T15" s="56">
        <v>319040.27549999999</v>
      </c>
      <c r="U15" s="84">
        <f>IFERROR((VLOOKUP($B15,#REF!,18,FALSE)),0)</f>
        <v>0</v>
      </c>
      <c r="V15" s="83"/>
      <c r="W15" s="84">
        <f>IFERROR((VLOOKUP($B15,#REF!,21,FALSE)),0)</f>
        <v>0</v>
      </c>
      <c r="Y15" s="88">
        <v>157284.39749999999</v>
      </c>
      <c r="Z15" s="12">
        <v>116.29</v>
      </c>
    </row>
    <row r="16" spans="1:26" ht="30" x14ac:dyDescent="0.25">
      <c r="A16" s="5">
        <v>9</v>
      </c>
      <c r="B16" s="5">
        <v>390520</v>
      </c>
      <c r="C16" s="67" t="s">
        <v>21</v>
      </c>
      <c r="D16" s="7">
        <f>'АПП БАЗ (0)'!D16</f>
        <v>5017</v>
      </c>
      <c r="E16" s="8">
        <f t="shared" si="1"/>
        <v>0</v>
      </c>
      <c r="F16" s="10"/>
      <c r="G16" s="10"/>
      <c r="H16" s="10"/>
      <c r="I16" s="10"/>
      <c r="J16" s="10"/>
      <c r="K16" s="7">
        <v>0</v>
      </c>
      <c r="L16" s="8">
        <v>0</v>
      </c>
      <c r="M16" s="7">
        <v>40908</v>
      </c>
      <c r="N16" s="8">
        <v>24247.379999999997</v>
      </c>
      <c r="O16" s="9">
        <f t="shared" si="0"/>
        <v>24247.379999999997</v>
      </c>
      <c r="Q16" s="7">
        <v>40908</v>
      </c>
      <c r="R16" s="8">
        <v>24247.379999999997</v>
      </c>
      <c r="T16" s="56">
        <v>24247.379999999997</v>
      </c>
      <c r="U16" s="84">
        <f>IFERROR((VLOOKUP($B16,#REF!,18,FALSE)),0)</f>
        <v>0</v>
      </c>
      <c r="V16" s="83"/>
      <c r="W16" s="84">
        <f>IFERROR((VLOOKUP($B16,#REF!,21,FALSE)),0)</f>
        <v>0</v>
      </c>
      <c r="Y16" s="8">
        <v>0</v>
      </c>
    </row>
    <row r="17" spans="1:26" ht="45" x14ac:dyDescent="0.25">
      <c r="A17" s="5">
        <v>10</v>
      </c>
      <c r="B17" s="5">
        <v>390070</v>
      </c>
      <c r="C17" s="67" t="s">
        <v>22</v>
      </c>
      <c r="D17" s="7">
        <f>'АПП БАЗ (0)'!D17</f>
        <v>12356</v>
      </c>
      <c r="E17" s="8">
        <f t="shared" si="1"/>
        <v>34013.313000000002</v>
      </c>
      <c r="F17" s="10"/>
      <c r="G17" s="10"/>
      <c r="H17" s="10"/>
      <c r="I17" s="10"/>
      <c r="J17" s="10"/>
      <c r="K17" s="7">
        <v>7605</v>
      </c>
      <c r="L17" s="8">
        <v>1928.05</v>
      </c>
      <c r="M17" s="7">
        <v>43096</v>
      </c>
      <c r="N17" s="8">
        <v>42175.83</v>
      </c>
      <c r="O17" s="9">
        <f t="shared" si="0"/>
        <v>78117.192999999999</v>
      </c>
      <c r="Q17" s="7">
        <v>43096</v>
      </c>
      <c r="R17" s="8">
        <v>42175.83</v>
      </c>
      <c r="T17" s="56">
        <v>78117.192999999999</v>
      </c>
      <c r="U17" s="84">
        <f>IFERROR((VLOOKUP($B17,#REF!,18,FALSE)),0)</f>
        <v>0</v>
      </c>
      <c r="V17" s="83"/>
      <c r="W17" s="84">
        <f>IFERROR((VLOOKUP($B17,#REF!,21,FALSE)),0)</f>
        <v>0</v>
      </c>
      <c r="Y17" s="8">
        <v>34013.313000000002</v>
      </c>
    </row>
    <row r="18" spans="1:26" x14ac:dyDescent="0.25">
      <c r="A18" s="5">
        <v>11</v>
      </c>
      <c r="B18" s="5">
        <v>390100</v>
      </c>
      <c r="C18" s="6" t="s">
        <v>23</v>
      </c>
      <c r="D18" s="7">
        <f>'АПП БАЗ (0)'!D18</f>
        <v>590</v>
      </c>
      <c r="E18" s="8">
        <f t="shared" si="1"/>
        <v>108870.77415000001</v>
      </c>
      <c r="F18" s="10"/>
      <c r="G18" s="10"/>
      <c r="H18" s="10"/>
      <c r="I18" s="10"/>
      <c r="J18" s="10"/>
      <c r="K18" s="7">
        <v>153416</v>
      </c>
      <c r="L18" s="8">
        <v>95024.04</v>
      </c>
      <c r="M18" s="7">
        <v>29713</v>
      </c>
      <c r="N18" s="8">
        <v>18549.23</v>
      </c>
      <c r="O18" s="9">
        <f t="shared" si="0"/>
        <v>222444.04415</v>
      </c>
      <c r="Q18" s="7">
        <v>29943</v>
      </c>
      <c r="R18" s="8">
        <v>18758.162</v>
      </c>
      <c r="T18" s="56">
        <v>231847.97469999999</v>
      </c>
      <c r="U18" s="84">
        <f>IFERROR((VLOOKUP($B18,#REF!,18,FALSE)),0)</f>
        <v>0</v>
      </c>
      <c r="V18" s="83"/>
      <c r="W18" s="84">
        <f>IFERROR((VLOOKUP($B18,#REF!,21,FALSE)),0)</f>
        <v>0</v>
      </c>
      <c r="Y18" s="85">
        <v>108870.77415000001</v>
      </c>
    </row>
    <row r="19" spans="1:26" x14ac:dyDescent="0.25">
      <c r="A19" s="5">
        <v>12</v>
      </c>
      <c r="B19" s="5">
        <v>390090</v>
      </c>
      <c r="C19" s="6" t="s">
        <v>24</v>
      </c>
      <c r="D19" s="7">
        <f>'АПП БАЗ (0)'!D19</f>
        <v>0</v>
      </c>
      <c r="E19" s="8">
        <f t="shared" si="1"/>
        <v>105279.48566999999</v>
      </c>
      <c r="F19" s="10"/>
      <c r="G19" s="10"/>
      <c r="H19" s="10"/>
      <c r="I19" s="10"/>
      <c r="J19" s="10"/>
      <c r="K19" s="7">
        <v>160437</v>
      </c>
      <c r="L19" s="8">
        <v>96263.37</v>
      </c>
      <c r="M19" s="7">
        <v>31072</v>
      </c>
      <c r="N19" s="8">
        <v>18417.310000000001</v>
      </c>
      <c r="O19" s="9">
        <f t="shared" si="0"/>
        <v>219960.16566999999</v>
      </c>
      <c r="Q19" s="7">
        <v>31185</v>
      </c>
      <c r="R19" s="8">
        <v>18519.959200000001</v>
      </c>
      <c r="T19" s="56">
        <v>224720.97699999998</v>
      </c>
      <c r="U19" s="84">
        <f>IFERROR((VLOOKUP($B19,#REF!,18,FALSE)),0)</f>
        <v>0</v>
      </c>
      <c r="V19" s="83"/>
      <c r="W19" s="84">
        <f>IFERROR((VLOOKUP($B19,#REF!,21,FALSE)),0)</f>
        <v>0</v>
      </c>
      <c r="Y19" s="85">
        <v>105279.48566999999</v>
      </c>
    </row>
    <row r="20" spans="1:26" x14ac:dyDescent="0.25">
      <c r="A20" s="5">
        <v>13</v>
      </c>
      <c r="B20" s="5">
        <v>390400</v>
      </c>
      <c r="C20" s="6" t="s">
        <v>25</v>
      </c>
      <c r="D20" s="7">
        <f>'АПП БАЗ (0)'!D20</f>
        <v>133543</v>
      </c>
      <c r="E20" s="8">
        <f t="shared" si="1"/>
        <v>230032.02463</v>
      </c>
      <c r="F20" s="10"/>
      <c r="G20" s="10"/>
      <c r="H20" s="10"/>
      <c r="I20" s="10"/>
      <c r="J20" s="10"/>
      <c r="K20" s="7">
        <v>331340</v>
      </c>
      <c r="L20" s="8">
        <v>199381.24</v>
      </c>
      <c r="M20" s="7">
        <v>62062</v>
      </c>
      <c r="N20" s="8">
        <v>36786.009699999995</v>
      </c>
      <c r="O20" s="9">
        <f t="shared" si="0"/>
        <v>466199.27432999999</v>
      </c>
      <c r="Q20" s="7">
        <v>62120</v>
      </c>
      <c r="R20" s="8">
        <v>36838.696899999995</v>
      </c>
      <c r="T20" s="56">
        <v>467724.84028</v>
      </c>
      <c r="U20" s="84">
        <f>IFERROR((VLOOKUP($B20,#REF!,18,FALSE)),0)</f>
        <v>0</v>
      </c>
      <c r="V20" s="83"/>
      <c r="W20" s="84">
        <f>IFERROR((VLOOKUP($B20,#REF!,21,FALSE)),0)</f>
        <v>0</v>
      </c>
      <c r="Y20" s="88">
        <v>230032.02463</v>
      </c>
      <c r="Z20" s="12">
        <v>170.08</v>
      </c>
    </row>
    <row r="21" spans="1:26" ht="30" x14ac:dyDescent="0.25">
      <c r="A21" s="5">
        <v>14</v>
      </c>
      <c r="B21" s="5">
        <v>390110</v>
      </c>
      <c r="C21" s="6" t="s">
        <v>26</v>
      </c>
      <c r="D21" s="7">
        <f>'АПП БАЗ (0)'!D21</f>
        <v>107695</v>
      </c>
      <c r="E21" s="8">
        <f t="shared" si="1"/>
        <v>18124.127379999998</v>
      </c>
      <c r="F21" s="10"/>
      <c r="G21" s="10"/>
      <c r="H21" s="10"/>
      <c r="I21" s="10"/>
      <c r="J21" s="10"/>
      <c r="K21" s="7">
        <v>27170</v>
      </c>
      <c r="L21" s="8">
        <v>16322.34</v>
      </c>
      <c r="M21" s="7">
        <v>5262</v>
      </c>
      <c r="N21" s="8">
        <v>3118.95</v>
      </c>
      <c r="O21" s="9">
        <f t="shared" si="0"/>
        <v>37565.417379999999</v>
      </c>
      <c r="Q21" s="7">
        <v>5352</v>
      </c>
      <c r="R21" s="8">
        <v>3200.7059999999997</v>
      </c>
      <c r="T21" s="56">
        <v>41128.88594</v>
      </c>
      <c r="U21" s="84">
        <f>IFERROR((VLOOKUP($B21,#REF!,18,FALSE)),0)</f>
        <v>0</v>
      </c>
      <c r="V21" s="83"/>
      <c r="W21" s="84">
        <f>IFERROR((VLOOKUP($B21,#REF!,21,FALSE)),0)</f>
        <v>0</v>
      </c>
      <c r="Y21" s="85">
        <v>18124.127379999998</v>
      </c>
    </row>
    <row r="22" spans="1:26" x14ac:dyDescent="0.25">
      <c r="A22" s="5">
        <v>15</v>
      </c>
      <c r="B22" s="5">
        <v>390130</v>
      </c>
      <c r="C22" s="67" t="s">
        <v>27</v>
      </c>
      <c r="D22" s="7">
        <f>'АПП БАЗ (0)'!D22</f>
        <v>106259</v>
      </c>
      <c r="E22" s="8">
        <f t="shared" si="1"/>
        <v>8953.8399000000009</v>
      </c>
      <c r="F22" s="10"/>
      <c r="G22" s="10"/>
      <c r="H22" s="10"/>
      <c r="I22" s="10"/>
      <c r="J22" s="10"/>
      <c r="K22" s="7">
        <v>62660</v>
      </c>
      <c r="L22" s="8">
        <v>16308.39</v>
      </c>
      <c r="M22" s="7">
        <v>0</v>
      </c>
      <c r="N22" s="8">
        <v>0</v>
      </c>
      <c r="O22" s="9">
        <f t="shared" si="0"/>
        <v>25262.229899999998</v>
      </c>
      <c r="Q22" s="7">
        <v>0</v>
      </c>
      <c r="R22" s="8">
        <v>0</v>
      </c>
      <c r="T22" s="56">
        <v>25262.229899999998</v>
      </c>
      <c r="U22" s="84">
        <f>IFERROR((VLOOKUP($B22,#REF!,18,FALSE)),0)</f>
        <v>0</v>
      </c>
      <c r="V22" s="83"/>
      <c r="W22" s="84">
        <f>IFERROR((VLOOKUP($B22,#REF!,21,FALSE)),0)</f>
        <v>0</v>
      </c>
      <c r="Y22" s="8">
        <v>8953.8399000000009</v>
      </c>
    </row>
    <row r="23" spans="1:26" x14ac:dyDescent="0.25">
      <c r="A23" s="5">
        <v>16</v>
      </c>
      <c r="B23" s="5">
        <v>390680</v>
      </c>
      <c r="C23" s="67" t="s">
        <v>28</v>
      </c>
      <c r="D23" s="7">
        <f>'АПП БАЗ (0)'!D23</f>
        <v>228313</v>
      </c>
      <c r="E23" s="8">
        <f t="shared" si="1"/>
        <v>21572.843550000001</v>
      </c>
      <c r="F23" s="10"/>
      <c r="G23" s="10"/>
      <c r="H23" s="10"/>
      <c r="I23" s="10"/>
      <c r="J23" s="10"/>
      <c r="K23" s="7">
        <v>125559</v>
      </c>
      <c r="L23" s="8">
        <v>35358.770000000004</v>
      </c>
      <c r="M23" s="7">
        <v>0</v>
      </c>
      <c r="N23" s="8">
        <v>0</v>
      </c>
      <c r="O23" s="9">
        <f t="shared" si="0"/>
        <v>56931.613550000009</v>
      </c>
      <c r="Q23" s="7">
        <v>31</v>
      </c>
      <c r="R23" s="8">
        <v>28.160399999999999</v>
      </c>
      <c r="T23" s="56">
        <v>57922.277440000013</v>
      </c>
      <c r="U23" s="84">
        <f>IFERROR((VLOOKUP($B23,#REF!,18,FALSE)),0)</f>
        <v>0</v>
      </c>
      <c r="V23" s="83"/>
      <c r="W23" s="84">
        <f>IFERROR((VLOOKUP($B23,#REF!,21,FALSE)),0)</f>
        <v>0</v>
      </c>
      <c r="Y23" s="8">
        <v>21572.843550000001</v>
      </c>
    </row>
    <row r="24" spans="1:26" ht="30" x14ac:dyDescent="0.25">
      <c r="A24" s="5">
        <v>17</v>
      </c>
      <c r="B24" s="5">
        <v>390890</v>
      </c>
      <c r="C24" s="6" t="s">
        <v>84</v>
      </c>
      <c r="D24" s="7">
        <f>'АПП БАЗ (0)'!D24</f>
        <v>17231</v>
      </c>
      <c r="E24" s="8">
        <f t="shared" si="1"/>
        <v>220458.17053</v>
      </c>
      <c r="F24" s="10"/>
      <c r="G24" s="10"/>
      <c r="H24" s="10"/>
      <c r="I24" s="10"/>
      <c r="J24" s="10"/>
      <c r="K24" s="7">
        <v>243093</v>
      </c>
      <c r="L24" s="8">
        <v>160988.81</v>
      </c>
      <c r="M24" s="7">
        <v>47081</v>
      </c>
      <c r="N24" s="8">
        <v>27906.32</v>
      </c>
      <c r="O24" s="9">
        <f t="shared" si="0"/>
        <v>409353.30053000001</v>
      </c>
      <c r="Q24" s="7">
        <v>47226</v>
      </c>
      <c r="R24" s="8">
        <v>28038.038</v>
      </c>
      <c r="T24" s="56">
        <v>412682.11196000001</v>
      </c>
      <c r="U24" s="84">
        <f>IFERROR((VLOOKUP($B24,#REF!,18,FALSE)),0)</f>
        <v>0</v>
      </c>
      <c r="V24" s="83"/>
      <c r="W24" s="84">
        <f>IFERROR((VLOOKUP($B24,#REF!,21,FALSE)),0)</f>
        <v>0</v>
      </c>
      <c r="Y24" s="88">
        <v>220458.17053</v>
      </c>
      <c r="Z24" s="89">
        <f>449.37-Z15-Z20</f>
        <v>162.99999999999997</v>
      </c>
    </row>
    <row r="25" spans="1:26" x14ac:dyDescent="0.25">
      <c r="A25" s="5">
        <v>18</v>
      </c>
      <c r="B25" s="5">
        <v>390200</v>
      </c>
      <c r="C25" s="6" t="s">
        <v>29</v>
      </c>
      <c r="D25" s="7">
        <f>'АПП БАЗ (0)'!D25</f>
        <v>162260</v>
      </c>
      <c r="E25" s="8">
        <f t="shared" si="1"/>
        <v>41450.737509999999</v>
      </c>
      <c r="F25" s="10"/>
      <c r="G25" s="10"/>
      <c r="H25" s="10"/>
      <c r="I25" s="10"/>
      <c r="J25" s="10"/>
      <c r="K25" s="7">
        <v>56568</v>
      </c>
      <c r="L25" s="8">
        <v>35386.65</v>
      </c>
      <c r="M25" s="7">
        <v>10956</v>
      </c>
      <c r="N25" s="8">
        <v>6493.95</v>
      </c>
      <c r="O25" s="9">
        <f t="shared" si="0"/>
        <v>83331.337509999998</v>
      </c>
      <c r="Q25" s="7">
        <v>11181</v>
      </c>
      <c r="R25" s="8">
        <v>6698.34</v>
      </c>
      <c r="T25" s="56">
        <v>90982.312399999995</v>
      </c>
      <c r="U25" s="84">
        <f>IFERROR((VLOOKUP($B25,#REF!,18,FALSE)),0)</f>
        <v>0</v>
      </c>
      <c r="V25" s="83"/>
      <c r="W25" s="84">
        <f>IFERROR((VLOOKUP($B25,#REF!,21,FALSE)),0)</f>
        <v>0</v>
      </c>
      <c r="Y25" s="85">
        <v>41450.737509999999</v>
      </c>
    </row>
    <row r="26" spans="1:26" x14ac:dyDescent="0.25">
      <c r="A26" s="5">
        <v>19</v>
      </c>
      <c r="B26" s="5">
        <v>390160</v>
      </c>
      <c r="C26" s="6" t="s">
        <v>30</v>
      </c>
      <c r="D26" s="7">
        <f>'АПП БАЗ (0)'!D26</f>
        <v>34462</v>
      </c>
      <c r="E26" s="8">
        <f t="shared" si="1"/>
        <v>47066.769220000002</v>
      </c>
      <c r="F26" s="10"/>
      <c r="G26" s="10"/>
      <c r="H26" s="10"/>
      <c r="I26" s="10"/>
      <c r="J26" s="10"/>
      <c r="K26" s="7">
        <v>58557</v>
      </c>
      <c r="L26" s="8">
        <v>36646.699999999997</v>
      </c>
      <c r="M26" s="7">
        <v>11341</v>
      </c>
      <c r="N26" s="8">
        <v>10115.15</v>
      </c>
      <c r="O26" s="9">
        <f t="shared" si="0"/>
        <v>93828.619219999993</v>
      </c>
      <c r="Q26" s="7">
        <v>11471</v>
      </c>
      <c r="R26" s="8">
        <v>10233.242</v>
      </c>
      <c r="T26" s="56">
        <v>95654.683789999995</v>
      </c>
      <c r="U26" s="84">
        <f>IFERROR((VLOOKUP($B26,#REF!,18,FALSE)),0)</f>
        <v>0</v>
      </c>
      <c r="V26" s="83"/>
      <c r="W26" s="84">
        <f>IFERROR((VLOOKUP($B26,#REF!,21,FALSE)),0)</f>
        <v>0</v>
      </c>
      <c r="Y26" s="85">
        <v>47066.769220000002</v>
      </c>
    </row>
    <row r="27" spans="1:26" x14ac:dyDescent="0.25">
      <c r="A27" s="5">
        <v>20</v>
      </c>
      <c r="B27" s="5">
        <v>390210</v>
      </c>
      <c r="C27" s="6" t="s">
        <v>31</v>
      </c>
      <c r="D27" s="7">
        <f>'АПП БАЗ (0)'!D27</f>
        <v>35898</v>
      </c>
      <c r="E27" s="8">
        <f t="shared" si="1"/>
        <v>40242.796539999996</v>
      </c>
      <c r="F27" s="10"/>
      <c r="G27" s="10"/>
      <c r="H27" s="10"/>
      <c r="I27" s="10"/>
      <c r="J27" s="10"/>
      <c r="K27" s="7">
        <v>58817</v>
      </c>
      <c r="L27" s="8">
        <v>38885.81</v>
      </c>
      <c r="M27" s="7">
        <v>11391</v>
      </c>
      <c r="N27" s="8">
        <v>6751.79</v>
      </c>
      <c r="O27" s="9">
        <f t="shared" si="0"/>
        <v>85880.396539999987</v>
      </c>
      <c r="Q27" s="7">
        <v>11508</v>
      </c>
      <c r="R27" s="8">
        <v>6858.0727999999999</v>
      </c>
      <c r="T27" s="56">
        <v>91158.086959999986</v>
      </c>
      <c r="U27" s="84">
        <f>IFERROR((VLOOKUP($B27,#REF!,18,FALSE)),0)</f>
        <v>0</v>
      </c>
      <c r="V27" s="83"/>
      <c r="W27" s="84">
        <f>IFERROR((VLOOKUP($B27,#REF!,21,FALSE)),0)</f>
        <v>0</v>
      </c>
      <c r="Y27" s="85">
        <v>40242.796539999996</v>
      </c>
    </row>
    <row r="28" spans="1:26" x14ac:dyDescent="0.25">
      <c r="A28" s="5">
        <v>21</v>
      </c>
      <c r="B28" s="11">
        <v>390220</v>
      </c>
      <c r="C28" s="6" t="s">
        <v>32</v>
      </c>
      <c r="D28" s="7">
        <f>'АПП БАЗ (0)'!D28</f>
        <v>35898</v>
      </c>
      <c r="E28" s="8">
        <f t="shared" si="1"/>
        <v>92596.643549999993</v>
      </c>
      <c r="F28" s="10"/>
      <c r="G28" s="10"/>
      <c r="H28" s="10"/>
      <c r="I28" s="10"/>
      <c r="J28" s="10"/>
      <c r="K28" s="7">
        <v>139894</v>
      </c>
      <c r="L28" s="8">
        <v>94019.83</v>
      </c>
      <c r="M28" s="7">
        <v>25366</v>
      </c>
      <c r="N28" s="8">
        <v>15035.191000000001</v>
      </c>
      <c r="O28" s="9">
        <f t="shared" si="0"/>
        <v>201651.66454999999</v>
      </c>
      <c r="Q28" s="7">
        <v>25614</v>
      </c>
      <c r="R28" s="8">
        <v>15260.474200000001</v>
      </c>
      <c r="T28" s="56">
        <v>215062.17980999997</v>
      </c>
      <c r="U28" s="84">
        <f>IFERROR((VLOOKUP($B28,#REF!,18,FALSE)),0)</f>
        <v>0</v>
      </c>
      <c r="V28" s="83"/>
      <c r="W28" s="84">
        <f>IFERROR((VLOOKUP($B28,#REF!,21,FALSE)),0)</f>
        <v>0</v>
      </c>
      <c r="Y28" s="85">
        <v>92596.643549999993</v>
      </c>
    </row>
    <row r="29" spans="1:26" x14ac:dyDescent="0.25">
      <c r="A29" s="5">
        <v>22</v>
      </c>
      <c r="B29" s="5">
        <v>390230</v>
      </c>
      <c r="C29" s="6" t="s">
        <v>33</v>
      </c>
      <c r="D29" s="7">
        <f>'АПП БАЗ (0)'!D29</f>
        <v>99079</v>
      </c>
      <c r="E29" s="8">
        <f t="shared" si="1"/>
        <v>55947.642100000005</v>
      </c>
      <c r="F29" s="10"/>
      <c r="G29" s="10"/>
      <c r="H29" s="10"/>
      <c r="I29" s="10"/>
      <c r="J29" s="10"/>
      <c r="K29" s="7">
        <v>66948</v>
      </c>
      <c r="L29" s="8">
        <v>40803.93</v>
      </c>
      <c r="M29" s="7">
        <v>12966</v>
      </c>
      <c r="N29" s="8">
        <v>7685.34</v>
      </c>
      <c r="O29" s="9">
        <f t="shared" si="0"/>
        <v>104436.9121</v>
      </c>
      <c r="Q29" s="7">
        <v>13159</v>
      </c>
      <c r="R29" s="8">
        <v>7860.6612000000005</v>
      </c>
      <c r="T29" s="56">
        <v>112788.51649000001</v>
      </c>
      <c r="U29" s="84">
        <f>IFERROR((VLOOKUP($B29,#REF!,18,FALSE)),0)</f>
        <v>0</v>
      </c>
      <c r="V29" s="83"/>
      <c r="W29" s="84">
        <f>IFERROR((VLOOKUP($B29,#REF!,21,FALSE)),0)</f>
        <v>0</v>
      </c>
      <c r="Y29" s="85">
        <v>55947.642100000005</v>
      </c>
    </row>
    <row r="30" spans="1:26" x14ac:dyDescent="0.25">
      <c r="A30" s="5">
        <v>23</v>
      </c>
      <c r="B30" s="5">
        <v>390240</v>
      </c>
      <c r="C30" s="6" t="s">
        <v>34</v>
      </c>
      <c r="D30" s="7">
        <f>'АПП БАЗ (0)'!D30</f>
        <v>41642</v>
      </c>
      <c r="E30" s="8">
        <f t="shared" si="1"/>
        <v>44721.920619999997</v>
      </c>
      <c r="F30" s="10"/>
      <c r="G30" s="10"/>
      <c r="H30" s="10"/>
      <c r="I30" s="10"/>
      <c r="J30" s="10"/>
      <c r="K30" s="7">
        <v>68511</v>
      </c>
      <c r="L30" s="8">
        <v>40766.61</v>
      </c>
      <c r="M30" s="7">
        <v>13269</v>
      </c>
      <c r="N30" s="8">
        <v>8361.25</v>
      </c>
      <c r="O30" s="9">
        <f t="shared" si="0"/>
        <v>93849.780620000005</v>
      </c>
      <c r="Q30" s="7">
        <v>13375</v>
      </c>
      <c r="R30" s="8">
        <v>8457.5403999999999</v>
      </c>
      <c r="T30" s="56">
        <v>98578.834240000011</v>
      </c>
      <c r="U30" s="84">
        <f>IFERROR((VLOOKUP($B30,#REF!,18,FALSE)),0)</f>
        <v>0</v>
      </c>
      <c r="V30" s="83"/>
      <c r="W30" s="84">
        <f>IFERROR((VLOOKUP($B30,#REF!,21,FALSE)),0)</f>
        <v>0</v>
      </c>
      <c r="Y30" s="85">
        <v>44721.920619999997</v>
      </c>
    </row>
    <row r="31" spans="1:26" x14ac:dyDescent="0.25">
      <c r="A31" s="5">
        <v>24</v>
      </c>
      <c r="B31" s="5">
        <v>390290</v>
      </c>
      <c r="C31" s="6" t="s">
        <v>35</v>
      </c>
      <c r="D31" s="7">
        <f>'АПП БАЗ (0)'!D31</f>
        <v>45950</v>
      </c>
      <c r="E31" s="8">
        <f t="shared" si="1"/>
        <v>17119.722899999997</v>
      </c>
      <c r="F31" s="10"/>
      <c r="G31" s="10"/>
      <c r="H31" s="10"/>
      <c r="I31" s="10"/>
      <c r="J31" s="10"/>
      <c r="K31" s="7">
        <v>22629</v>
      </c>
      <c r="L31" s="8">
        <v>14547.61</v>
      </c>
      <c r="M31" s="7">
        <v>4383</v>
      </c>
      <c r="N31" s="8">
        <v>2597.94</v>
      </c>
      <c r="O31" s="9">
        <f t="shared" si="0"/>
        <v>34265.272899999996</v>
      </c>
      <c r="Q31" s="7">
        <v>4420</v>
      </c>
      <c r="R31" s="8">
        <v>2631.5508</v>
      </c>
      <c r="T31" s="56">
        <v>36018.810399999995</v>
      </c>
      <c r="U31" s="84">
        <f>IFERROR((VLOOKUP($B31,#REF!,18,FALSE)),0)</f>
        <v>0</v>
      </c>
      <c r="V31" s="83"/>
      <c r="W31" s="84">
        <f>IFERROR((VLOOKUP($B31,#REF!,21,FALSE)),0)</f>
        <v>0</v>
      </c>
      <c r="Y31" s="85">
        <v>17119.722899999997</v>
      </c>
    </row>
    <row r="32" spans="1:26" x14ac:dyDescent="0.25">
      <c r="A32" s="5">
        <v>25</v>
      </c>
      <c r="B32" s="5">
        <v>390380</v>
      </c>
      <c r="C32" s="6" t="s">
        <v>36</v>
      </c>
      <c r="D32" s="7">
        <f>'АПП БАЗ (0)'!D32</f>
        <v>12923</v>
      </c>
      <c r="E32" s="8">
        <f t="shared" si="1"/>
        <v>9991.4227899999987</v>
      </c>
      <c r="F32" s="10"/>
      <c r="G32" s="10"/>
      <c r="H32" s="10"/>
      <c r="I32" s="10"/>
      <c r="J32" s="10"/>
      <c r="K32" s="7">
        <v>13424</v>
      </c>
      <c r="L32" s="8">
        <v>8896.4500000000007</v>
      </c>
      <c r="M32" s="7">
        <v>2600</v>
      </c>
      <c r="N32" s="8">
        <v>1541.1</v>
      </c>
      <c r="O32" s="9">
        <f t="shared" si="0"/>
        <v>20428.97279</v>
      </c>
      <c r="Q32" s="7">
        <v>2617</v>
      </c>
      <c r="R32" s="8">
        <v>1556.5427999999999</v>
      </c>
      <c r="T32" s="56">
        <v>21130.402340000001</v>
      </c>
      <c r="U32" s="84">
        <f>IFERROR((VLOOKUP($B32,#REF!,18,FALSE)),0)</f>
        <v>0</v>
      </c>
      <c r="V32" s="83"/>
      <c r="W32" s="84">
        <f>IFERROR((VLOOKUP($B32,#REF!,21,FALSE)),0)</f>
        <v>0</v>
      </c>
      <c r="Y32" s="85">
        <v>9991.4227899999987</v>
      </c>
    </row>
    <row r="33" spans="1:25" x14ac:dyDescent="0.25">
      <c r="A33" s="5">
        <v>26</v>
      </c>
      <c r="B33" s="5">
        <v>390370</v>
      </c>
      <c r="C33" s="6" t="s">
        <v>37</v>
      </c>
      <c r="D33" s="7">
        <f>'АПП БАЗ (0)'!D33</f>
        <v>8616</v>
      </c>
      <c r="E33" s="8">
        <f t="shared" si="1"/>
        <v>16435.290720000001</v>
      </c>
      <c r="F33" s="10"/>
      <c r="G33" s="10"/>
      <c r="H33" s="10"/>
      <c r="I33" s="10"/>
      <c r="J33" s="10"/>
      <c r="K33" s="7">
        <v>22714</v>
      </c>
      <c r="L33" s="8">
        <v>13703.64</v>
      </c>
      <c r="M33" s="7">
        <v>4399</v>
      </c>
      <c r="N33" s="8">
        <v>3326.77</v>
      </c>
      <c r="O33" s="9">
        <f t="shared" si="0"/>
        <v>33465.700720000001</v>
      </c>
      <c r="Q33" s="7">
        <v>4457</v>
      </c>
      <c r="R33" s="8">
        <v>3379.4571999999998</v>
      </c>
      <c r="T33" s="56">
        <v>35140.534789999998</v>
      </c>
      <c r="U33" s="84">
        <f>IFERROR((VLOOKUP($B33,#REF!,18,FALSE)),0)</f>
        <v>0</v>
      </c>
      <c r="V33" s="83"/>
      <c r="W33" s="84">
        <f>IFERROR((VLOOKUP($B33,#REF!,21,FALSE)),0)</f>
        <v>0</v>
      </c>
      <c r="Y33" s="85">
        <v>16435.290720000001</v>
      </c>
    </row>
    <row r="34" spans="1:25" x14ac:dyDescent="0.25">
      <c r="A34" s="5">
        <v>27</v>
      </c>
      <c r="B34" s="5">
        <v>390260</v>
      </c>
      <c r="C34" s="6" t="s">
        <v>38</v>
      </c>
      <c r="D34" s="7">
        <f>'АПП БАЗ (0)'!D34</f>
        <v>14359</v>
      </c>
      <c r="E34" s="8">
        <f t="shared" si="1"/>
        <v>26606.971559999998</v>
      </c>
      <c r="F34" s="10"/>
      <c r="G34" s="10"/>
      <c r="H34" s="10"/>
      <c r="I34" s="10"/>
      <c r="J34" s="10"/>
      <c r="K34" s="7">
        <v>37431</v>
      </c>
      <c r="L34" s="8">
        <v>22916.11</v>
      </c>
      <c r="M34" s="7">
        <v>7250</v>
      </c>
      <c r="N34" s="8">
        <v>4297.29</v>
      </c>
      <c r="O34" s="9">
        <f t="shared" si="0"/>
        <v>53820.37156</v>
      </c>
      <c r="Q34" s="7">
        <v>7358</v>
      </c>
      <c r="R34" s="8">
        <v>4395.3972000000003</v>
      </c>
      <c r="T34" s="56">
        <v>56834.912629999999</v>
      </c>
      <c r="U34" s="84">
        <f>IFERROR((VLOOKUP($B34,#REF!,18,FALSE)),0)</f>
        <v>0</v>
      </c>
      <c r="V34" s="83"/>
      <c r="W34" s="84">
        <f>IFERROR((VLOOKUP($B34,#REF!,21,FALSE)),0)</f>
        <v>0</v>
      </c>
      <c r="Y34" s="85">
        <v>26606.971559999998</v>
      </c>
    </row>
    <row r="35" spans="1:25" x14ac:dyDescent="0.25">
      <c r="A35" s="5">
        <v>28</v>
      </c>
      <c r="B35" s="5">
        <v>390250</v>
      </c>
      <c r="C35" s="6" t="s">
        <v>39</v>
      </c>
      <c r="D35" s="7">
        <f>'АПП БАЗ (0)'!D35</f>
        <v>50258</v>
      </c>
      <c r="E35" s="8">
        <f t="shared" si="1"/>
        <v>20696.758440000001</v>
      </c>
      <c r="F35" s="10"/>
      <c r="G35" s="10"/>
      <c r="H35" s="10"/>
      <c r="I35" s="10"/>
      <c r="J35" s="10"/>
      <c r="K35" s="7">
        <v>27796</v>
      </c>
      <c r="L35" s="8">
        <v>16797.63</v>
      </c>
      <c r="M35" s="7">
        <v>5383</v>
      </c>
      <c r="N35" s="8">
        <v>3190.67</v>
      </c>
      <c r="O35" s="9">
        <f t="shared" si="0"/>
        <v>40685.058440000001</v>
      </c>
      <c r="Q35" s="7">
        <v>5418</v>
      </c>
      <c r="R35" s="8">
        <v>3222.4639999999999</v>
      </c>
      <c r="T35" s="56">
        <v>41934.979520000001</v>
      </c>
      <c r="U35" s="84">
        <f>IFERROR((VLOOKUP($B35,#REF!,18,FALSE)),0)</f>
        <v>0</v>
      </c>
      <c r="V35" s="83"/>
      <c r="W35" s="84">
        <f>IFERROR((VLOOKUP($B35,#REF!,21,FALSE)),0)</f>
        <v>0</v>
      </c>
      <c r="Y35" s="85">
        <v>20696.758440000001</v>
      </c>
    </row>
    <row r="36" spans="1:25" x14ac:dyDescent="0.25">
      <c r="A36" s="5">
        <v>29</v>
      </c>
      <c r="B36" s="5">
        <v>390300</v>
      </c>
      <c r="C36" s="6" t="s">
        <v>40</v>
      </c>
      <c r="D36" s="7">
        <f>'АПП БАЗ (0)'!D36</f>
        <v>22975</v>
      </c>
      <c r="E36" s="8">
        <f t="shared" si="1"/>
        <v>17750.083879999998</v>
      </c>
      <c r="F36" s="10"/>
      <c r="G36" s="10"/>
      <c r="H36" s="10"/>
      <c r="I36" s="10"/>
      <c r="J36" s="10"/>
      <c r="K36" s="7">
        <v>26300</v>
      </c>
      <c r="L36" s="8">
        <v>16141.82</v>
      </c>
      <c r="M36" s="7">
        <v>5093</v>
      </c>
      <c r="N36" s="8">
        <v>3175.84</v>
      </c>
      <c r="O36" s="9">
        <f t="shared" si="0"/>
        <v>37067.743879999995</v>
      </c>
      <c r="Q36" s="7">
        <v>5137</v>
      </c>
      <c r="R36" s="8">
        <v>3215.8096</v>
      </c>
      <c r="T36" s="56">
        <v>39020.293479999993</v>
      </c>
      <c r="U36" s="84">
        <f>IFERROR((VLOOKUP($B36,#REF!,18,FALSE)),0)</f>
        <v>0</v>
      </c>
      <c r="V36" s="83"/>
      <c r="W36" s="84">
        <f>IFERROR((VLOOKUP($B36,#REF!,21,FALSE)),0)</f>
        <v>0</v>
      </c>
      <c r="Y36" s="85">
        <v>17750.083879999998</v>
      </c>
    </row>
    <row r="37" spans="1:25" ht="16.5" customHeight="1" x14ac:dyDescent="0.25">
      <c r="A37" s="5">
        <v>30</v>
      </c>
      <c r="B37" s="5">
        <v>390480</v>
      </c>
      <c r="C37" s="6" t="s">
        <v>106</v>
      </c>
      <c r="D37" s="7">
        <f>'АПП БАЗ (0)'!D37</f>
        <v>17231</v>
      </c>
      <c r="E37" s="8">
        <f t="shared" si="1"/>
        <v>69413.187000000005</v>
      </c>
      <c r="F37" s="10"/>
      <c r="G37" s="10"/>
      <c r="H37" s="10"/>
      <c r="I37" s="10"/>
      <c r="J37" s="10"/>
      <c r="K37" s="7">
        <v>78622</v>
      </c>
      <c r="L37" s="8">
        <v>48567.199999999997</v>
      </c>
      <c r="M37" s="7">
        <v>14587</v>
      </c>
      <c r="N37" s="8">
        <v>8780.773000000001</v>
      </c>
      <c r="O37" s="9">
        <f t="shared" si="0"/>
        <v>126761.16</v>
      </c>
      <c r="Q37" s="7">
        <v>14784</v>
      </c>
      <c r="R37" s="8">
        <v>8959.7278000000006</v>
      </c>
      <c r="T37" s="56">
        <v>132971.30439999999</v>
      </c>
      <c r="U37" s="84">
        <f>IFERROR((VLOOKUP($B37,#REF!,18,FALSE)),0)</f>
        <v>0</v>
      </c>
      <c r="V37" s="83"/>
      <c r="W37" s="84">
        <f>IFERROR((VLOOKUP($B37,#REF!,21,FALSE)),0)</f>
        <v>0</v>
      </c>
      <c r="Y37" s="85">
        <v>69413.187000000005</v>
      </c>
    </row>
    <row r="38" spans="1:25" x14ac:dyDescent="0.25">
      <c r="A38" s="5">
        <v>31</v>
      </c>
      <c r="B38" s="5">
        <v>390310</v>
      </c>
      <c r="C38" s="6" t="s">
        <v>41</v>
      </c>
      <c r="D38" s="7">
        <f>'АПП БАЗ (0)'!D38</f>
        <v>15795</v>
      </c>
      <c r="E38" s="8">
        <f t="shared" si="1"/>
        <v>24815.04077</v>
      </c>
      <c r="F38" s="10"/>
      <c r="G38" s="10"/>
      <c r="H38" s="10"/>
      <c r="I38" s="10"/>
      <c r="J38" s="10"/>
      <c r="K38" s="7">
        <v>37823</v>
      </c>
      <c r="L38" s="8">
        <v>22545.85</v>
      </c>
      <c r="M38" s="7">
        <v>7325</v>
      </c>
      <c r="N38" s="8">
        <v>4341.75</v>
      </c>
      <c r="O38" s="9">
        <f t="shared" si="0"/>
        <v>51702.640769999998</v>
      </c>
      <c r="Q38" s="7">
        <v>7424</v>
      </c>
      <c r="R38" s="8">
        <v>4431.6815999999999</v>
      </c>
      <c r="T38" s="56">
        <v>56074.330149999994</v>
      </c>
      <c r="U38" s="84">
        <f>IFERROR((VLOOKUP($B38,#REF!,18,FALSE)),0)</f>
        <v>0</v>
      </c>
      <c r="V38" s="83"/>
      <c r="W38" s="84">
        <f>IFERROR((VLOOKUP($B38,#REF!,21,FALSE)),0)</f>
        <v>0</v>
      </c>
      <c r="Y38" s="85">
        <v>24815.04077</v>
      </c>
    </row>
    <row r="39" spans="1:25" x14ac:dyDescent="0.25">
      <c r="A39" s="5">
        <v>32</v>
      </c>
      <c r="B39" s="5">
        <v>390320</v>
      </c>
      <c r="C39" s="6" t="s">
        <v>42</v>
      </c>
      <c r="D39" s="7">
        <f>'АПП БАЗ (0)'!D39</f>
        <v>22975</v>
      </c>
      <c r="E39" s="8">
        <f t="shared" si="1"/>
        <v>26077.362350000003</v>
      </c>
      <c r="F39" s="10"/>
      <c r="G39" s="10"/>
      <c r="H39" s="10"/>
      <c r="I39" s="10"/>
      <c r="J39" s="10"/>
      <c r="K39" s="7">
        <v>37106</v>
      </c>
      <c r="L39" s="8">
        <v>22518.06</v>
      </c>
      <c r="M39" s="7">
        <v>7187</v>
      </c>
      <c r="N39" s="8">
        <v>5162.84</v>
      </c>
      <c r="O39" s="9">
        <f t="shared" si="0"/>
        <v>53758.262350000005</v>
      </c>
      <c r="Q39" s="7">
        <v>7291</v>
      </c>
      <c r="R39" s="8">
        <v>5257.3136000000004</v>
      </c>
      <c r="T39" s="56">
        <v>56717.137100000007</v>
      </c>
      <c r="U39" s="84">
        <f>IFERROR((VLOOKUP($B39,#REF!,18,FALSE)),0)</f>
        <v>0</v>
      </c>
      <c r="V39" s="83"/>
      <c r="W39" s="84">
        <f>IFERROR((VLOOKUP($B39,#REF!,21,FALSE)),0)</f>
        <v>0</v>
      </c>
      <c r="Y39" s="85">
        <v>26077.362350000003</v>
      </c>
    </row>
    <row r="40" spans="1:25" x14ac:dyDescent="0.25">
      <c r="A40" s="5">
        <v>33</v>
      </c>
      <c r="B40" s="5">
        <v>390180</v>
      </c>
      <c r="C40" s="6" t="s">
        <v>43</v>
      </c>
      <c r="D40" s="7">
        <f>'АПП БАЗ (0)'!D40</f>
        <v>22975</v>
      </c>
      <c r="E40" s="8">
        <f t="shared" si="1"/>
        <v>47639.98878</v>
      </c>
      <c r="F40" s="10"/>
      <c r="G40" s="10"/>
      <c r="H40" s="10"/>
      <c r="I40" s="10"/>
      <c r="J40" s="10"/>
      <c r="K40" s="7">
        <v>62235</v>
      </c>
      <c r="L40" s="8">
        <v>37545.370000000003</v>
      </c>
      <c r="M40" s="7">
        <v>12053</v>
      </c>
      <c r="N40" s="8">
        <v>7144.17</v>
      </c>
      <c r="O40" s="9">
        <f t="shared" ref="O40:O60" si="2">E40+L40+N40</f>
        <v>92329.528780000008</v>
      </c>
      <c r="Q40" s="7">
        <v>12313</v>
      </c>
      <c r="R40" s="8">
        <v>7380.3540000000003</v>
      </c>
      <c r="T40" s="56">
        <v>103272.68728000001</v>
      </c>
      <c r="U40" s="84">
        <f>IFERROR((VLOOKUP($B40,#REF!,18,FALSE)),0)</f>
        <v>0</v>
      </c>
      <c r="V40" s="83"/>
      <c r="W40" s="84">
        <f>IFERROR((VLOOKUP($B40,#REF!,21,FALSE)),0)</f>
        <v>0</v>
      </c>
      <c r="Y40" s="85">
        <v>47639.98878</v>
      </c>
    </row>
    <row r="41" spans="1:25" x14ac:dyDescent="0.25">
      <c r="A41" s="5">
        <v>34</v>
      </c>
      <c r="B41" s="5">
        <v>390270</v>
      </c>
      <c r="C41" s="6" t="s">
        <v>44</v>
      </c>
      <c r="D41" s="7">
        <f>'АПП БАЗ (0)'!D41</f>
        <v>38770</v>
      </c>
      <c r="E41" s="8">
        <f t="shared" si="1"/>
        <v>28922.586199999998</v>
      </c>
      <c r="F41" s="10"/>
      <c r="G41" s="10"/>
      <c r="H41" s="10"/>
      <c r="I41" s="10"/>
      <c r="J41" s="10"/>
      <c r="K41" s="7">
        <v>36252</v>
      </c>
      <c r="L41" s="8">
        <v>22878.82</v>
      </c>
      <c r="M41" s="7">
        <v>7021</v>
      </c>
      <c r="N41" s="8">
        <v>4161.5600000000004</v>
      </c>
      <c r="O41" s="9">
        <f t="shared" si="2"/>
        <v>55962.966199999995</v>
      </c>
      <c r="Q41" s="7">
        <v>7137</v>
      </c>
      <c r="R41" s="8">
        <v>4266.9344000000001</v>
      </c>
      <c r="T41" s="56">
        <v>60301.263059999997</v>
      </c>
      <c r="U41" s="84">
        <f>IFERROR((VLOOKUP($B41,#REF!,18,FALSE)),0)</f>
        <v>0</v>
      </c>
      <c r="V41" s="83"/>
      <c r="W41" s="84">
        <f>IFERROR((VLOOKUP($B41,#REF!,21,FALSE)),0)</f>
        <v>0</v>
      </c>
      <c r="Y41" s="85">
        <v>28922.586199999998</v>
      </c>
    </row>
    <row r="42" spans="1:25" x14ac:dyDescent="0.25">
      <c r="A42" s="5">
        <v>35</v>
      </c>
      <c r="B42" s="5">
        <v>390190</v>
      </c>
      <c r="C42" s="6" t="s">
        <v>45</v>
      </c>
      <c r="D42" s="7">
        <f>'АПП БАЗ (0)'!D42</f>
        <v>21539</v>
      </c>
      <c r="E42" s="8">
        <f t="shared" si="1"/>
        <v>67388.756640000007</v>
      </c>
      <c r="F42" s="10"/>
      <c r="G42" s="10"/>
      <c r="H42" s="10"/>
      <c r="I42" s="10"/>
      <c r="J42" s="10"/>
      <c r="K42" s="7">
        <v>77927</v>
      </c>
      <c r="L42" s="8">
        <v>50717.93</v>
      </c>
      <c r="M42" s="7">
        <v>15092</v>
      </c>
      <c r="N42" s="8">
        <v>9825.93</v>
      </c>
      <c r="O42" s="9">
        <f t="shared" si="2"/>
        <v>127932.61663999999</v>
      </c>
      <c r="Q42" s="7">
        <v>15092</v>
      </c>
      <c r="R42" s="8">
        <v>9825.93</v>
      </c>
      <c r="T42" s="56">
        <v>127932.61663999999</v>
      </c>
      <c r="U42" s="84">
        <f>IFERROR((VLOOKUP($B42,#REF!,18,FALSE)),0)</f>
        <v>0</v>
      </c>
      <c r="V42" s="83"/>
      <c r="W42" s="84">
        <f>IFERROR((VLOOKUP($B42,#REF!,21,FALSE)),0)</f>
        <v>0</v>
      </c>
      <c r="Y42" s="85">
        <v>67388.756640000007</v>
      </c>
    </row>
    <row r="43" spans="1:25" ht="30" x14ac:dyDescent="0.25">
      <c r="A43" s="5">
        <v>36</v>
      </c>
      <c r="B43" s="5">
        <v>390285</v>
      </c>
      <c r="C43" s="67" t="s">
        <v>46</v>
      </c>
      <c r="D43" s="7">
        <f>'АПП БАЗ (0)'!D43</f>
        <v>47386</v>
      </c>
      <c r="E43" s="8">
        <f t="shared" si="1"/>
        <v>0</v>
      </c>
      <c r="F43" s="10"/>
      <c r="G43" s="10"/>
      <c r="H43" s="10"/>
      <c r="I43" s="10"/>
      <c r="J43" s="10"/>
      <c r="K43" s="7">
        <v>0</v>
      </c>
      <c r="L43" s="8">
        <v>0</v>
      </c>
      <c r="M43" s="7">
        <v>0</v>
      </c>
      <c r="N43" s="8">
        <v>0</v>
      </c>
      <c r="O43" s="9">
        <f t="shared" si="2"/>
        <v>0</v>
      </c>
      <c r="Q43" s="7">
        <v>0</v>
      </c>
      <c r="R43" s="8">
        <v>0</v>
      </c>
      <c r="T43" s="56">
        <v>0</v>
      </c>
      <c r="U43" s="84">
        <f>IFERROR((VLOOKUP($B43,#REF!,18,FALSE)),0)</f>
        <v>0</v>
      </c>
      <c r="V43" s="83"/>
      <c r="W43" s="84">
        <f>IFERROR((VLOOKUP($B43,#REF!,21,FALSE)),0)</f>
        <v>0</v>
      </c>
      <c r="Y43" s="8"/>
    </row>
    <row r="44" spans="1:25" x14ac:dyDescent="0.25">
      <c r="A44" s="5">
        <v>37</v>
      </c>
      <c r="B44" s="5">
        <v>390280</v>
      </c>
      <c r="C44" s="6" t="s">
        <v>47</v>
      </c>
      <c r="D44" s="7">
        <f>'АПП БАЗ (0)'!D44</f>
        <v>56001</v>
      </c>
      <c r="E44" s="8">
        <f t="shared" si="1"/>
        <v>71322.647859999997</v>
      </c>
      <c r="F44" s="10"/>
      <c r="G44" s="10"/>
      <c r="H44" s="10"/>
      <c r="I44" s="10"/>
      <c r="J44" s="10"/>
      <c r="K44" s="7">
        <v>92671</v>
      </c>
      <c r="L44" s="8">
        <v>58093.19</v>
      </c>
      <c r="M44" s="7">
        <v>17918</v>
      </c>
      <c r="N44" s="8">
        <v>10620.96</v>
      </c>
      <c r="O44" s="9">
        <f t="shared" si="2"/>
        <v>140036.79785999999</v>
      </c>
      <c r="Q44" s="7">
        <v>17918</v>
      </c>
      <c r="R44" s="8">
        <v>10620.96</v>
      </c>
      <c r="T44" s="56">
        <v>140036.79785999999</v>
      </c>
      <c r="U44" s="84">
        <f>IFERROR((VLOOKUP($B44,#REF!,18,FALSE)),0)</f>
        <v>0</v>
      </c>
      <c r="V44" s="83"/>
      <c r="W44" s="84">
        <f>IFERROR((VLOOKUP($B44,#REF!,21,FALSE)),0)</f>
        <v>0</v>
      </c>
      <c r="Y44" s="85">
        <v>71322.647859999997</v>
      </c>
    </row>
    <row r="45" spans="1:25" ht="30" x14ac:dyDescent="0.25">
      <c r="A45" s="5">
        <v>38</v>
      </c>
      <c r="B45" s="5">
        <v>390340</v>
      </c>
      <c r="C45" s="6" t="s">
        <v>48</v>
      </c>
      <c r="D45" s="7">
        <f>'АПП БАЗ (0)'!D45</f>
        <v>18667</v>
      </c>
      <c r="E45" s="8">
        <f t="shared" si="1"/>
        <v>26905.559839999998</v>
      </c>
      <c r="F45" s="10"/>
      <c r="G45" s="10"/>
      <c r="H45" s="10"/>
      <c r="I45" s="10"/>
      <c r="J45" s="10"/>
      <c r="K45" s="7">
        <v>25008</v>
      </c>
      <c r="L45" s="8">
        <v>15411.51</v>
      </c>
      <c r="M45" s="7">
        <v>4845</v>
      </c>
      <c r="N45" s="8">
        <v>2871.78</v>
      </c>
      <c r="O45" s="9">
        <f t="shared" si="2"/>
        <v>45188.849839999995</v>
      </c>
      <c r="Q45" s="7">
        <v>4908</v>
      </c>
      <c r="R45" s="8">
        <v>2929.0092000000004</v>
      </c>
      <c r="T45" s="56">
        <v>48089.695549999997</v>
      </c>
      <c r="U45" s="84">
        <f>IFERROR((VLOOKUP($B45,#REF!,18,FALSE)),0)</f>
        <v>0</v>
      </c>
      <c r="V45" s="83"/>
      <c r="W45" s="84">
        <f>IFERROR((VLOOKUP($B45,#REF!,21,FALSE)),0)</f>
        <v>0</v>
      </c>
      <c r="Y45" s="85">
        <v>26905.559839999998</v>
      </c>
    </row>
    <row r="46" spans="1:25" ht="30" x14ac:dyDescent="0.25">
      <c r="A46" s="5">
        <v>39</v>
      </c>
      <c r="B46" s="5">
        <v>390600</v>
      </c>
      <c r="C46" s="6" t="s">
        <v>49</v>
      </c>
      <c r="D46" s="7">
        <f>'АПП БАЗ (0)'!D46</f>
        <v>17231</v>
      </c>
      <c r="E46" s="8">
        <f t="shared" si="1"/>
        <v>26150.915499999999</v>
      </c>
      <c r="F46" s="10"/>
      <c r="G46" s="10"/>
      <c r="H46" s="10"/>
      <c r="I46" s="10"/>
      <c r="J46" s="10"/>
      <c r="K46" s="7">
        <v>31266</v>
      </c>
      <c r="L46" s="8">
        <v>18922.27</v>
      </c>
      <c r="M46" s="7">
        <v>6055</v>
      </c>
      <c r="N46" s="8">
        <v>4103.7</v>
      </c>
      <c r="O46" s="9">
        <f t="shared" si="2"/>
        <v>49176.885499999997</v>
      </c>
      <c r="Q46" s="7">
        <v>6063</v>
      </c>
      <c r="R46" s="8">
        <v>4110.9672</v>
      </c>
      <c r="T46" s="56">
        <v>50142.186839999995</v>
      </c>
      <c r="U46" s="84">
        <f>IFERROR((VLOOKUP($B46,#REF!,18,FALSE)),0)</f>
        <v>0</v>
      </c>
      <c r="V46" s="83"/>
      <c r="W46" s="84">
        <f>IFERROR((VLOOKUP($B46,#REF!,21,FALSE)),0)</f>
        <v>0</v>
      </c>
      <c r="Y46" s="85">
        <v>26150.915499999999</v>
      </c>
    </row>
    <row r="47" spans="1:25" x14ac:dyDescent="0.25">
      <c r="A47" s="5">
        <v>40</v>
      </c>
      <c r="B47" s="5">
        <v>390700</v>
      </c>
      <c r="C47" s="67" t="s">
        <v>50</v>
      </c>
      <c r="D47" s="7">
        <f>'АПП БАЗ (0)'!D47</f>
        <v>829</v>
      </c>
      <c r="E47" s="8">
        <f t="shared" si="1"/>
        <v>561.94982999999991</v>
      </c>
      <c r="F47" s="10"/>
      <c r="G47" s="10"/>
      <c r="H47" s="10"/>
      <c r="I47" s="10"/>
      <c r="J47" s="10"/>
      <c r="K47" s="7">
        <v>5400</v>
      </c>
      <c r="L47" s="8">
        <v>1288.56</v>
      </c>
      <c r="M47" s="7">
        <v>0</v>
      </c>
      <c r="N47" s="8">
        <v>0</v>
      </c>
      <c r="O47" s="9">
        <f t="shared" si="2"/>
        <v>1850.50983</v>
      </c>
      <c r="Q47" s="7">
        <v>0</v>
      </c>
      <c r="R47" s="8">
        <v>0</v>
      </c>
      <c r="T47" s="56">
        <v>2013.8898300000001</v>
      </c>
      <c r="U47" s="84">
        <f>IFERROR((VLOOKUP($B47,#REF!,18,FALSE)),0)</f>
        <v>0</v>
      </c>
      <c r="V47" s="83"/>
      <c r="W47" s="84">
        <f>IFERROR((VLOOKUP($B47,#REF!,21,FALSE)),0)</f>
        <v>0</v>
      </c>
      <c r="Y47" s="8">
        <v>561.94982999999991</v>
      </c>
    </row>
    <row r="48" spans="1:25" x14ac:dyDescent="0.25">
      <c r="A48" s="5">
        <v>41</v>
      </c>
      <c r="B48" s="5">
        <v>392400</v>
      </c>
      <c r="C48" s="67" t="s">
        <v>51</v>
      </c>
      <c r="D48" s="7">
        <f>'АПП БАЗ (0)'!D48</f>
        <v>431</v>
      </c>
      <c r="E48" s="8">
        <f t="shared" si="1"/>
        <v>1062.8431699999999</v>
      </c>
      <c r="F48" s="10"/>
      <c r="G48" s="10"/>
      <c r="H48" s="10"/>
      <c r="I48" s="10"/>
      <c r="J48" s="10"/>
      <c r="K48" s="7">
        <v>50</v>
      </c>
      <c r="L48" s="8">
        <v>10.6</v>
      </c>
      <c r="M48" s="7">
        <v>0</v>
      </c>
      <c r="N48" s="8">
        <v>0</v>
      </c>
      <c r="O48" s="9">
        <f t="shared" si="2"/>
        <v>1073.4431699999998</v>
      </c>
      <c r="Q48" s="7">
        <v>0</v>
      </c>
      <c r="R48" s="8">
        <v>0</v>
      </c>
      <c r="T48" s="56">
        <v>1073.4431699999998</v>
      </c>
      <c r="U48" s="84">
        <f>IFERROR((VLOOKUP($B48,#REF!,18,FALSE)),0)</f>
        <v>0</v>
      </c>
      <c r="V48" s="83"/>
      <c r="W48" s="84">
        <f>IFERROR((VLOOKUP($B48,#REF!,21,FALSE)),0)</f>
        <v>0</v>
      </c>
      <c r="Y48" s="8">
        <v>1062.8431699999999</v>
      </c>
    </row>
    <row r="49" spans="1:25" x14ac:dyDescent="0.25">
      <c r="A49" s="5">
        <v>42</v>
      </c>
      <c r="B49" s="5">
        <v>392320</v>
      </c>
      <c r="C49" s="67" t="s">
        <v>52</v>
      </c>
      <c r="D49" s="7">
        <f>'АПП БАЗ (0)'!D49</f>
        <v>2829</v>
      </c>
      <c r="E49" s="8">
        <f t="shared" si="1"/>
        <v>575.71</v>
      </c>
      <c r="F49" s="10"/>
      <c r="G49" s="10"/>
      <c r="H49" s="10"/>
      <c r="I49" s="10"/>
      <c r="J49" s="10"/>
      <c r="K49" s="7">
        <v>0</v>
      </c>
      <c r="L49" s="8">
        <v>0</v>
      </c>
      <c r="M49" s="7">
        <v>0</v>
      </c>
      <c r="N49" s="8">
        <v>0</v>
      </c>
      <c r="O49" s="9">
        <f t="shared" si="2"/>
        <v>575.71</v>
      </c>
      <c r="Q49" s="7">
        <v>0</v>
      </c>
      <c r="R49" s="8">
        <v>0</v>
      </c>
      <c r="T49" s="56">
        <v>575.71</v>
      </c>
      <c r="U49" s="84">
        <f>IFERROR((VLOOKUP($B49,#REF!,18,FALSE)),0)</f>
        <v>0</v>
      </c>
      <c r="V49" s="83"/>
      <c r="W49" s="84">
        <f>IFERROR((VLOOKUP($B49,#REF!,21,FALSE)),0)</f>
        <v>0</v>
      </c>
      <c r="Y49" s="8">
        <v>575.71</v>
      </c>
    </row>
    <row r="50" spans="1:25" x14ac:dyDescent="0.25">
      <c r="A50" s="5">
        <v>43</v>
      </c>
      <c r="B50" s="5">
        <v>391310</v>
      </c>
      <c r="C50" s="67" t="s">
        <v>53</v>
      </c>
      <c r="D50" s="7">
        <f>'АПП БАЗ (0)'!D50</f>
        <v>900</v>
      </c>
      <c r="E50" s="8">
        <f t="shared" si="1"/>
        <v>90.962000000000003</v>
      </c>
      <c r="F50" s="10"/>
      <c r="G50" s="10"/>
      <c r="H50" s="10"/>
      <c r="I50" s="10"/>
      <c r="J50" s="10"/>
      <c r="K50" s="7">
        <v>1100</v>
      </c>
      <c r="L50" s="8">
        <v>200.65</v>
      </c>
      <c r="M50" s="7">
        <v>0</v>
      </c>
      <c r="N50" s="8">
        <v>0</v>
      </c>
      <c r="O50" s="9">
        <f t="shared" si="2"/>
        <v>291.61200000000002</v>
      </c>
      <c r="Q50" s="7">
        <v>0</v>
      </c>
      <c r="R50" s="8">
        <v>0</v>
      </c>
      <c r="T50" s="56">
        <v>291.61200000000002</v>
      </c>
      <c r="U50" s="84">
        <f>IFERROR((VLOOKUP($B50,#REF!,18,FALSE)),0)</f>
        <v>0</v>
      </c>
      <c r="V50" s="83"/>
      <c r="W50" s="84">
        <f>IFERROR((VLOOKUP($B50,#REF!,21,FALSE)),0)</f>
        <v>0</v>
      </c>
      <c r="Y50" s="8">
        <v>90.962000000000003</v>
      </c>
    </row>
    <row r="51" spans="1:25" x14ac:dyDescent="0.25">
      <c r="A51" s="5">
        <v>44</v>
      </c>
      <c r="B51" s="5">
        <v>392590</v>
      </c>
      <c r="C51" s="67" t="s">
        <v>54</v>
      </c>
      <c r="D51" s="7">
        <f>'АПП БАЗ (0)'!D51</f>
        <v>0</v>
      </c>
      <c r="E51" s="8">
        <f t="shared" si="1"/>
        <v>0</v>
      </c>
      <c r="F51" s="10"/>
      <c r="G51" s="10"/>
      <c r="H51" s="10"/>
      <c r="I51" s="10"/>
      <c r="J51" s="10"/>
      <c r="K51" s="7">
        <v>10</v>
      </c>
      <c r="L51" s="8">
        <v>2.67</v>
      </c>
      <c r="M51" s="7">
        <v>0</v>
      </c>
      <c r="N51" s="8">
        <v>0</v>
      </c>
      <c r="O51" s="9">
        <f t="shared" si="2"/>
        <v>2.67</v>
      </c>
      <c r="Q51" s="7">
        <v>0</v>
      </c>
      <c r="R51" s="8">
        <v>0</v>
      </c>
      <c r="T51" s="56">
        <v>2.67</v>
      </c>
      <c r="U51" s="84">
        <f>IFERROR((VLOOKUP($B51,#REF!,18,FALSE)),0)</f>
        <v>0</v>
      </c>
      <c r="V51" s="83"/>
      <c r="W51" s="84">
        <f>IFERROR((VLOOKUP($B51,#REF!,21,FALSE)),0)</f>
        <v>0</v>
      </c>
      <c r="Y51" s="8">
        <v>0</v>
      </c>
    </row>
    <row r="52" spans="1:25" x14ac:dyDescent="0.25">
      <c r="A52" s="5">
        <v>45</v>
      </c>
      <c r="B52" s="5">
        <v>392770</v>
      </c>
      <c r="C52" s="67" t="s">
        <v>55</v>
      </c>
      <c r="D52" s="7">
        <f>'АПП БАЗ (0)'!D52</f>
        <v>750</v>
      </c>
      <c r="E52" s="8">
        <f t="shared" si="1"/>
        <v>57.570999999999998</v>
      </c>
      <c r="F52" s="10"/>
      <c r="G52" s="10"/>
      <c r="H52" s="10"/>
      <c r="I52" s="10"/>
      <c r="J52" s="10"/>
      <c r="K52" s="7">
        <v>0</v>
      </c>
      <c r="L52" s="8">
        <v>0</v>
      </c>
      <c r="M52" s="7">
        <v>0</v>
      </c>
      <c r="N52" s="8">
        <v>0</v>
      </c>
      <c r="O52" s="9">
        <f t="shared" si="2"/>
        <v>57.570999999999998</v>
      </c>
      <c r="Q52" s="7">
        <v>0</v>
      </c>
      <c r="R52" s="8">
        <v>0</v>
      </c>
      <c r="T52" s="56">
        <v>57.570999999999998</v>
      </c>
      <c r="U52" s="84">
        <f>IFERROR((VLOOKUP($B52,#REF!,18,FALSE)),0)</f>
        <v>0</v>
      </c>
      <c r="V52" s="83"/>
      <c r="W52" s="84">
        <f>IFERROR((VLOOKUP($B52,#REF!,21,FALSE)),0)</f>
        <v>0</v>
      </c>
      <c r="Y52" s="8">
        <v>57.570999999999998</v>
      </c>
    </row>
    <row r="53" spans="1:25" x14ac:dyDescent="0.25">
      <c r="A53" s="5">
        <v>46</v>
      </c>
      <c r="B53" s="5">
        <v>392120</v>
      </c>
      <c r="C53" s="67" t="s">
        <v>56</v>
      </c>
      <c r="D53" s="7">
        <f>'АПП БАЗ (0)'!D53</f>
        <v>100</v>
      </c>
      <c r="E53" s="8">
        <f t="shared" si="1"/>
        <v>18.652999999999999</v>
      </c>
      <c r="F53" s="10"/>
      <c r="G53" s="10"/>
      <c r="H53" s="10"/>
      <c r="I53" s="10"/>
      <c r="J53" s="13"/>
      <c r="K53" s="7">
        <v>9</v>
      </c>
      <c r="L53" s="8">
        <v>0</v>
      </c>
      <c r="M53" s="7">
        <v>30</v>
      </c>
      <c r="N53" s="8">
        <v>17.78</v>
      </c>
      <c r="O53" s="9">
        <f t="shared" si="2"/>
        <v>36.433</v>
      </c>
      <c r="Q53" s="7">
        <v>30</v>
      </c>
      <c r="R53" s="8">
        <v>17.78</v>
      </c>
      <c r="T53" s="56">
        <v>36.433</v>
      </c>
      <c r="U53" s="84">
        <f>IFERROR((VLOOKUP($B53,#REF!,18,FALSE)),0)</f>
        <v>0</v>
      </c>
      <c r="V53" s="83"/>
      <c r="W53" s="84">
        <f>IFERROR((VLOOKUP($B53,#REF!,21,FALSE)),0)</f>
        <v>0</v>
      </c>
      <c r="Y53" s="8">
        <v>18.652999999999999</v>
      </c>
    </row>
    <row r="54" spans="1:25" x14ac:dyDescent="0.25">
      <c r="A54" s="5">
        <v>47</v>
      </c>
      <c r="B54" s="5">
        <v>390782</v>
      </c>
      <c r="C54" s="18" t="s">
        <v>57</v>
      </c>
      <c r="D54" s="7">
        <f>'АПП БАЗ (0)'!D54</f>
        <v>0</v>
      </c>
      <c r="E54" s="8">
        <f t="shared" si="1"/>
        <v>75737.422640000004</v>
      </c>
      <c r="F54" s="19">
        <v>984</v>
      </c>
      <c r="G54" s="57">
        <v>75737.422640000004</v>
      </c>
      <c r="H54" s="57"/>
      <c r="I54" s="8"/>
      <c r="J54" s="13"/>
      <c r="K54" s="7">
        <v>0</v>
      </c>
      <c r="L54" s="8">
        <v>0</v>
      </c>
      <c r="M54" s="7">
        <v>0</v>
      </c>
      <c r="N54" s="8">
        <v>0</v>
      </c>
      <c r="O54" s="9">
        <f t="shared" si="2"/>
        <v>75737.422640000004</v>
      </c>
      <c r="Q54" s="7">
        <v>0</v>
      </c>
      <c r="R54" s="8">
        <v>0</v>
      </c>
      <c r="T54" s="56"/>
      <c r="U54" s="84">
        <f>IFERROR((VLOOKUP($B54,#REF!,18,FALSE)),0)</f>
        <v>0</v>
      </c>
      <c r="V54" s="83"/>
      <c r="W54" s="84">
        <f>IFERROR((VLOOKUP($B54,#REF!,21,FALSE)),0)</f>
        <v>0</v>
      </c>
      <c r="Y54" s="8">
        <v>75737.422640000004</v>
      </c>
    </row>
    <row r="55" spans="1:25" x14ac:dyDescent="0.25">
      <c r="A55" s="5">
        <v>48</v>
      </c>
      <c r="B55" s="5">
        <v>392080</v>
      </c>
      <c r="C55" s="18" t="s">
        <v>58</v>
      </c>
      <c r="D55" s="7">
        <f>'АПП БАЗ (0)'!D55</f>
        <v>0</v>
      </c>
      <c r="E55" s="8">
        <f t="shared" si="1"/>
        <v>23512.75836</v>
      </c>
      <c r="F55" s="19">
        <v>320</v>
      </c>
      <c r="G55" s="57">
        <v>23512.75836</v>
      </c>
      <c r="H55" s="57"/>
      <c r="I55" s="8"/>
      <c r="J55" s="14"/>
      <c r="K55" s="7">
        <v>0</v>
      </c>
      <c r="L55" s="8">
        <v>0</v>
      </c>
      <c r="M55" s="7">
        <v>0</v>
      </c>
      <c r="N55" s="8">
        <v>0</v>
      </c>
      <c r="O55" s="9">
        <f t="shared" si="2"/>
        <v>23512.75836</v>
      </c>
      <c r="Q55" s="7">
        <v>0</v>
      </c>
      <c r="R55" s="8">
        <v>0</v>
      </c>
      <c r="T55" s="56"/>
      <c r="U55" s="84">
        <f>IFERROR((VLOOKUP($B55,#REF!,18,FALSE)),0)</f>
        <v>0</v>
      </c>
      <c r="V55" s="83"/>
      <c r="W55" s="84">
        <f>IFERROR((VLOOKUP($B55,#REF!,21,FALSE)),0)</f>
        <v>0</v>
      </c>
      <c r="Y55" s="8">
        <v>23512.75836</v>
      </c>
    </row>
    <row r="56" spans="1:25" ht="15.75" customHeight="1" x14ac:dyDescent="0.25">
      <c r="A56" s="5">
        <v>49</v>
      </c>
      <c r="B56" s="5">
        <v>391650</v>
      </c>
      <c r="C56" s="61" t="s">
        <v>59</v>
      </c>
      <c r="D56" s="7">
        <f>'АПП БАЗ (0)'!D56</f>
        <v>50</v>
      </c>
      <c r="E56" s="8">
        <f t="shared" si="1"/>
        <v>0</v>
      </c>
      <c r="F56" s="10"/>
      <c r="G56" s="10"/>
      <c r="H56" s="10"/>
      <c r="I56" s="10"/>
      <c r="J56" s="13"/>
      <c r="K56" s="7">
        <v>35</v>
      </c>
      <c r="L56" s="8">
        <v>827.66</v>
      </c>
      <c r="M56" s="7">
        <v>0</v>
      </c>
      <c r="N56" s="8">
        <v>0</v>
      </c>
      <c r="O56" s="9">
        <f t="shared" si="2"/>
        <v>827.66</v>
      </c>
      <c r="Q56" s="7">
        <v>0</v>
      </c>
      <c r="R56" s="8">
        <v>0</v>
      </c>
      <c r="T56" s="56"/>
      <c r="U56" s="84">
        <f>IFERROR((VLOOKUP($B56,#REF!,18,FALSE)),0)</f>
        <v>0</v>
      </c>
      <c r="V56" s="83"/>
      <c r="W56" s="84">
        <f>IFERROR((VLOOKUP($B56,#REF!,21,FALSE)),0)</f>
        <v>0</v>
      </c>
      <c r="Y56" s="8">
        <v>0</v>
      </c>
    </row>
    <row r="57" spans="1:25" ht="15.75" customHeight="1" x14ac:dyDescent="0.25">
      <c r="A57" s="5">
        <v>50</v>
      </c>
      <c r="B57" s="5">
        <v>391850</v>
      </c>
      <c r="C57" s="61" t="s">
        <v>60</v>
      </c>
      <c r="D57" s="7">
        <f>'АПП БАЗ (0)'!D57</f>
        <v>50</v>
      </c>
      <c r="E57" s="8">
        <f t="shared" si="1"/>
        <v>0</v>
      </c>
      <c r="F57" s="10"/>
      <c r="G57" s="10"/>
      <c r="H57" s="10"/>
      <c r="I57" s="10"/>
      <c r="J57" s="13"/>
      <c r="K57" s="7">
        <v>5</v>
      </c>
      <c r="L57" s="8">
        <v>118.24</v>
      </c>
      <c r="M57" s="7">
        <v>0</v>
      </c>
      <c r="N57" s="8">
        <v>0</v>
      </c>
      <c r="O57" s="9">
        <f t="shared" si="2"/>
        <v>118.24</v>
      </c>
      <c r="Q57" s="7">
        <v>0</v>
      </c>
      <c r="R57" s="8">
        <v>0</v>
      </c>
      <c r="T57" s="56"/>
      <c r="U57" s="84">
        <f>IFERROR((VLOOKUP($B57,#REF!,18,FALSE)),0)</f>
        <v>0</v>
      </c>
      <c r="V57" s="83"/>
      <c r="W57" s="84">
        <f>IFERROR((VLOOKUP($B57,#REF!,21,FALSE)),0)</f>
        <v>0</v>
      </c>
      <c r="Y57" s="8">
        <v>0</v>
      </c>
    </row>
    <row r="58" spans="1:25" x14ac:dyDescent="0.25">
      <c r="A58" s="5">
        <v>51</v>
      </c>
      <c r="B58" s="5">
        <v>392140</v>
      </c>
      <c r="C58" s="62" t="s">
        <v>61</v>
      </c>
      <c r="D58" s="7">
        <f>'АПП БАЗ (0)'!D58</f>
        <v>0</v>
      </c>
      <c r="E58" s="8">
        <f t="shared" si="1"/>
        <v>0</v>
      </c>
      <c r="F58" s="10"/>
      <c r="G58" s="10"/>
      <c r="H58" s="10"/>
      <c r="I58" s="10"/>
      <c r="J58" s="13"/>
      <c r="K58" s="7">
        <v>5</v>
      </c>
      <c r="L58" s="8">
        <v>118.24</v>
      </c>
      <c r="M58" s="7">
        <v>0</v>
      </c>
      <c r="N58" s="8">
        <v>0</v>
      </c>
      <c r="O58" s="9">
        <f t="shared" si="2"/>
        <v>118.24</v>
      </c>
      <c r="Q58" s="7">
        <v>0</v>
      </c>
      <c r="R58" s="8">
        <v>0</v>
      </c>
      <c r="T58" s="56"/>
      <c r="U58" s="84">
        <f>IFERROR((VLOOKUP($B58,#REF!,18,FALSE)),0)</f>
        <v>0</v>
      </c>
      <c r="V58" s="83"/>
      <c r="W58" s="84">
        <f>IFERROR((VLOOKUP($B58,#REF!,21,FALSE)),0)</f>
        <v>0</v>
      </c>
      <c r="Y58" s="8">
        <v>0</v>
      </c>
    </row>
    <row r="59" spans="1:25" x14ac:dyDescent="0.25">
      <c r="A59" s="5">
        <v>52</v>
      </c>
      <c r="B59" s="5">
        <v>392210</v>
      </c>
      <c r="C59" s="62" t="s">
        <v>62</v>
      </c>
      <c r="D59" s="7">
        <f>'АПП БАЗ (0)'!D59</f>
        <v>0</v>
      </c>
      <c r="E59" s="8">
        <f t="shared" si="1"/>
        <v>0</v>
      </c>
      <c r="F59" s="10"/>
      <c r="G59" s="10"/>
      <c r="H59" s="10"/>
      <c r="I59" s="10"/>
      <c r="J59" s="13"/>
      <c r="K59" s="7">
        <v>35</v>
      </c>
      <c r="L59" s="8">
        <v>827.66</v>
      </c>
      <c r="M59" s="7">
        <v>0</v>
      </c>
      <c r="N59" s="8">
        <v>0</v>
      </c>
      <c r="O59" s="9">
        <f t="shared" si="2"/>
        <v>827.66</v>
      </c>
      <c r="Q59" s="7">
        <v>0</v>
      </c>
      <c r="R59" s="8">
        <v>0</v>
      </c>
      <c r="T59" s="56"/>
      <c r="U59" s="84">
        <f>IFERROR((VLOOKUP($B59,#REF!,18,FALSE)),0)</f>
        <v>0</v>
      </c>
      <c r="V59" s="83"/>
      <c r="W59" s="84">
        <f>IFERROR((VLOOKUP($B59,#REF!,21,FALSE)),0)</f>
        <v>0</v>
      </c>
      <c r="Y59" s="8">
        <v>0</v>
      </c>
    </row>
    <row r="60" spans="1:25" x14ac:dyDescent="0.25">
      <c r="A60" s="5">
        <v>53</v>
      </c>
      <c r="B60" s="5">
        <v>392300</v>
      </c>
      <c r="C60" s="62" t="s">
        <v>63</v>
      </c>
      <c r="D60" s="7">
        <f>'АПП БАЗ (0)'!D60</f>
        <v>0</v>
      </c>
      <c r="E60" s="8">
        <f t="shared" si="1"/>
        <v>0</v>
      </c>
      <c r="F60" s="10"/>
      <c r="G60" s="10"/>
      <c r="H60" s="10"/>
      <c r="I60" s="10"/>
      <c r="J60" s="13"/>
      <c r="K60" s="7">
        <v>10</v>
      </c>
      <c r="L60" s="8">
        <v>236.47</v>
      </c>
      <c r="M60" s="7">
        <v>0</v>
      </c>
      <c r="N60" s="8">
        <v>0</v>
      </c>
      <c r="O60" s="9">
        <f t="shared" si="2"/>
        <v>236.47</v>
      </c>
      <c r="Q60" s="7">
        <v>0</v>
      </c>
      <c r="R60" s="8">
        <v>0</v>
      </c>
      <c r="T60" s="56"/>
      <c r="U60" s="84">
        <f>IFERROR((VLOOKUP($B60,#REF!,18,FALSE)),0)</f>
        <v>0</v>
      </c>
      <c r="V60" s="83"/>
      <c r="W60" s="84">
        <f>IFERROR((VLOOKUP($B60,#REF!,21,FALSE)),0)</f>
        <v>0</v>
      </c>
      <c r="Y60" s="8">
        <v>0</v>
      </c>
    </row>
    <row r="61" spans="1:25" s="16" customFormat="1" ht="28.5" x14ac:dyDescent="0.25">
      <c r="A61" s="5">
        <v>54</v>
      </c>
      <c r="B61" s="5">
        <v>391930</v>
      </c>
      <c r="C61" s="63" t="s">
        <v>64</v>
      </c>
      <c r="D61" s="7">
        <f>'АПП БАЗ (0)'!D61</f>
        <v>50</v>
      </c>
      <c r="E61" s="8">
        <f t="shared" si="1"/>
        <v>987.99</v>
      </c>
      <c r="F61" s="10"/>
      <c r="G61" s="10"/>
      <c r="H61" s="10"/>
      <c r="I61" s="66">
        <v>552</v>
      </c>
      <c r="J61" s="8">
        <v>2262.9899999999998</v>
      </c>
      <c r="K61" s="7">
        <v>0</v>
      </c>
      <c r="L61" s="8">
        <v>0</v>
      </c>
      <c r="M61" s="7">
        <v>0</v>
      </c>
      <c r="N61" s="8">
        <v>0</v>
      </c>
      <c r="O61" s="9">
        <f t="shared" ref="O61:O70" si="3">E61</f>
        <v>987.99</v>
      </c>
      <c r="P61" s="15"/>
      <c r="Q61" s="7">
        <v>0</v>
      </c>
      <c r="R61" s="8">
        <v>0</v>
      </c>
      <c r="T61" s="56">
        <v>987.99</v>
      </c>
      <c r="U61" s="84">
        <f>IFERROR((VLOOKUP($B61,#REF!,18,FALSE)),0)</f>
        <v>0</v>
      </c>
      <c r="V61" s="83"/>
      <c r="W61" s="84">
        <f>IFERROR((VLOOKUP($B61,#REF!,21,FALSE)),0)</f>
        <v>0</v>
      </c>
      <c r="Y61" s="8">
        <v>987.99</v>
      </c>
    </row>
    <row r="62" spans="1:25" s="16" customFormat="1" x14ac:dyDescent="0.25">
      <c r="A62" s="5">
        <v>55</v>
      </c>
      <c r="B62" s="5">
        <v>392750</v>
      </c>
      <c r="C62" s="64" t="s">
        <v>65</v>
      </c>
      <c r="D62" s="7">
        <f>'АПП БАЗ (0)'!D62</f>
        <v>0</v>
      </c>
      <c r="E62" s="8">
        <f t="shared" si="1"/>
        <v>9.3710000000000004</v>
      </c>
      <c r="F62" s="10"/>
      <c r="G62" s="10"/>
      <c r="H62" s="10"/>
      <c r="I62" s="66">
        <v>50</v>
      </c>
      <c r="J62" s="8">
        <v>29.57</v>
      </c>
      <c r="K62" s="7">
        <v>0</v>
      </c>
      <c r="L62" s="8">
        <v>0</v>
      </c>
      <c r="M62" s="7">
        <v>0</v>
      </c>
      <c r="N62" s="8">
        <v>0</v>
      </c>
      <c r="O62" s="9">
        <f t="shared" si="3"/>
        <v>9.3710000000000004</v>
      </c>
      <c r="P62" s="15"/>
      <c r="Q62" s="7">
        <v>0</v>
      </c>
      <c r="R62" s="8">
        <v>0</v>
      </c>
      <c r="T62" s="56">
        <v>9.3710000000000004</v>
      </c>
      <c r="U62" s="84">
        <f>IFERROR((VLOOKUP($B62,#REF!,18,FALSE)),0)</f>
        <v>0</v>
      </c>
      <c r="V62" s="83"/>
      <c r="W62" s="84">
        <f>IFERROR((VLOOKUP($B62,#REF!,21,FALSE)),0)</f>
        <v>0</v>
      </c>
      <c r="Y62" s="8">
        <v>9.3710000000000004</v>
      </c>
    </row>
    <row r="63" spans="1:25" s="16" customFormat="1" x14ac:dyDescent="0.25">
      <c r="A63" s="5">
        <v>56</v>
      </c>
      <c r="B63" s="5">
        <v>391960</v>
      </c>
      <c r="C63" s="63" t="s">
        <v>66</v>
      </c>
      <c r="D63" s="7">
        <f>'АПП БАЗ (0)'!D63</f>
        <v>0</v>
      </c>
      <c r="E63" s="8">
        <f t="shared" si="1"/>
        <v>0</v>
      </c>
      <c r="F63" s="10"/>
      <c r="G63" s="10"/>
      <c r="H63" s="10"/>
      <c r="I63" s="66">
        <v>3380</v>
      </c>
      <c r="J63" s="8">
        <v>6847.14</v>
      </c>
      <c r="K63" s="7">
        <v>0</v>
      </c>
      <c r="L63" s="8">
        <v>0</v>
      </c>
      <c r="M63" s="7">
        <v>0</v>
      </c>
      <c r="N63" s="8">
        <v>0</v>
      </c>
      <c r="O63" s="9">
        <f t="shared" si="3"/>
        <v>0</v>
      </c>
      <c r="P63" s="15"/>
      <c r="Q63" s="7">
        <v>0</v>
      </c>
      <c r="R63" s="8">
        <v>0</v>
      </c>
      <c r="T63" s="56">
        <v>0</v>
      </c>
      <c r="U63" s="84">
        <f>IFERROR((VLOOKUP($B63,#REF!,18,FALSE)),0)</f>
        <v>0</v>
      </c>
      <c r="V63" s="83"/>
      <c r="W63" s="84">
        <f>IFERROR((VLOOKUP($B63,#REF!,21,FALSE)),0)</f>
        <v>0</v>
      </c>
      <c r="Y63" s="8"/>
    </row>
    <row r="64" spans="1:25" s="16" customFormat="1" x14ac:dyDescent="0.25">
      <c r="A64" s="5">
        <v>57</v>
      </c>
      <c r="B64" s="5">
        <v>392470</v>
      </c>
      <c r="C64" s="65" t="s">
        <v>67</v>
      </c>
      <c r="D64" s="7">
        <f>'АПП БАЗ (0)'!D64</f>
        <v>0</v>
      </c>
      <c r="E64" s="8">
        <f t="shared" si="1"/>
        <v>0</v>
      </c>
      <c r="F64" s="10"/>
      <c r="G64" s="10"/>
      <c r="H64" s="10"/>
      <c r="I64" s="10">
        <v>10</v>
      </c>
      <c r="J64" s="8">
        <v>0.81</v>
      </c>
      <c r="K64" s="7">
        <v>0</v>
      </c>
      <c r="L64" s="8">
        <v>0</v>
      </c>
      <c r="M64" s="7">
        <v>0</v>
      </c>
      <c r="N64" s="8">
        <v>0</v>
      </c>
      <c r="O64" s="9">
        <f t="shared" si="3"/>
        <v>0</v>
      </c>
      <c r="P64" s="15"/>
      <c r="Q64" s="7">
        <v>0</v>
      </c>
      <c r="R64" s="8">
        <v>0</v>
      </c>
      <c r="T64" s="56">
        <v>0</v>
      </c>
      <c r="U64" s="84">
        <f>IFERROR((VLOOKUP($B64,#REF!,18,FALSE)),0)</f>
        <v>0</v>
      </c>
      <c r="V64" s="83"/>
      <c r="W64" s="84">
        <f>IFERROR((VLOOKUP($B64,#REF!,21,FALSE)),0)</f>
        <v>0</v>
      </c>
      <c r="Y64" s="8">
        <v>0</v>
      </c>
    </row>
    <row r="65" spans="1:25" s="16" customFormat="1" ht="28.5" x14ac:dyDescent="0.25">
      <c r="A65" s="5">
        <v>58</v>
      </c>
      <c r="B65" s="5">
        <v>391970</v>
      </c>
      <c r="C65" s="63" t="s">
        <v>68</v>
      </c>
      <c r="D65" s="7">
        <f>'АПП БАЗ (0)'!D65</f>
        <v>0</v>
      </c>
      <c r="E65" s="8">
        <f t="shared" si="1"/>
        <v>3046.0072</v>
      </c>
      <c r="F65" s="10"/>
      <c r="G65" s="10"/>
      <c r="H65" s="10"/>
      <c r="I65" s="66">
        <v>716</v>
      </c>
      <c r="J65" s="8">
        <v>3046.01</v>
      </c>
      <c r="K65" s="7">
        <v>0</v>
      </c>
      <c r="L65" s="8">
        <v>0</v>
      </c>
      <c r="M65" s="7">
        <v>0</v>
      </c>
      <c r="N65" s="8">
        <v>0</v>
      </c>
      <c r="O65" s="9">
        <f t="shared" si="3"/>
        <v>3046.0072</v>
      </c>
      <c r="P65" s="15"/>
      <c r="Q65" s="7">
        <v>0</v>
      </c>
      <c r="R65" s="8">
        <v>0</v>
      </c>
      <c r="T65" s="56">
        <v>3046.0072</v>
      </c>
      <c r="U65" s="84">
        <f>IFERROR((VLOOKUP($B65,#REF!,18,FALSE)),0)</f>
        <v>0</v>
      </c>
      <c r="V65" s="83"/>
      <c r="W65" s="84">
        <f>IFERROR((VLOOKUP($B65,#REF!,21,FALSE)),0)</f>
        <v>0</v>
      </c>
      <c r="Y65" s="8">
        <v>3046.0072</v>
      </c>
    </row>
    <row r="66" spans="1:25" s="16" customFormat="1" ht="42.75" x14ac:dyDescent="0.25">
      <c r="A66" s="5">
        <v>59</v>
      </c>
      <c r="B66" s="5">
        <v>392720</v>
      </c>
      <c r="C66" s="63" t="s">
        <v>69</v>
      </c>
      <c r="D66" s="7">
        <f>'АПП БАЗ (0)'!D66</f>
        <v>0</v>
      </c>
      <c r="E66" s="8">
        <f t="shared" si="1"/>
        <v>0</v>
      </c>
      <c r="F66" s="10"/>
      <c r="G66" s="10"/>
      <c r="H66" s="10"/>
      <c r="I66" s="10">
        <v>10</v>
      </c>
      <c r="J66" s="8">
        <v>9.77</v>
      </c>
      <c r="K66" s="7">
        <v>0</v>
      </c>
      <c r="L66" s="8">
        <v>0</v>
      </c>
      <c r="M66" s="7">
        <v>0</v>
      </c>
      <c r="N66" s="8">
        <v>0</v>
      </c>
      <c r="O66" s="9">
        <f t="shared" si="3"/>
        <v>0</v>
      </c>
      <c r="P66" s="15"/>
      <c r="Q66" s="7">
        <v>0</v>
      </c>
      <c r="R66" s="8">
        <v>0</v>
      </c>
      <c r="T66" s="56">
        <v>0</v>
      </c>
      <c r="U66" s="84">
        <f>IFERROR((VLOOKUP($B66,#REF!,18,FALSE)),0)</f>
        <v>0</v>
      </c>
      <c r="V66" s="83"/>
      <c r="W66" s="84">
        <f>IFERROR((VLOOKUP($B66,#REF!,21,FALSE)),0)</f>
        <v>0</v>
      </c>
      <c r="Y66" s="8"/>
    </row>
    <row r="67" spans="1:25" s="16" customFormat="1" ht="28.5" x14ac:dyDescent="0.25">
      <c r="A67" s="5">
        <v>60</v>
      </c>
      <c r="B67" s="5">
        <v>392050</v>
      </c>
      <c r="C67" s="63" t="s">
        <v>70</v>
      </c>
      <c r="D67" s="7">
        <f>'АПП БАЗ (0)'!D67</f>
        <v>0</v>
      </c>
      <c r="E67" s="8">
        <f t="shared" si="1"/>
        <v>0</v>
      </c>
      <c r="F67" s="10"/>
      <c r="G67" s="10"/>
      <c r="H67" s="10"/>
      <c r="I67" s="10">
        <v>10</v>
      </c>
      <c r="J67" s="8">
        <v>3.95</v>
      </c>
      <c r="K67" s="7">
        <v>0</v>
      </c>
      <c r="L67" s="8">
        <v>0</v>
      </c>
      <c r="M67" s="7">
        <v>0</v>
      </c>
      <c r="N67" s="8">
        <v>0</v>
      </c>
      <c r="O67" s="9">
        <f t="shared" si="3"/>
        <v>0</v>
      </c>
      <c r="P67" s="15"/>
      <c r="Q67" s="7">
        <v>0</v>
      </c>
      <c r="R67" s="8">
        <v>0</v>
      </c>
      <c r="T67" s="56">
        <v>0</v>
      </c>
      <c r="U67" s="84">
        <f>IFERROR((VLOOKUP($B67,#REF!,18,FALSE)),0)</f>
        <v>0</v>
      </c>
      <c r="V67" s="83"/>
      <c r="W67" s="84">
        <f>IFERROR((VLOOKUP($B67,#REF!,21,FALSE)),0)</f>
        <v>0</v>
      </c>
      <c r="Y67" s="8"/>
    </row>
    <row r="68" spans="1:25" s="16" customFormat="1" x14ac:dyDescent="0.25">
      <c r="A68" s="5">
        <v>61</v>
      </c>
      <c r="B68" s="5">
        <v>392580</v>
      </c>
      <c r="C68" s="63" t="s">
        <v>71</v>
      </c>
      <c r="D68" s="7">
        <f>'АПП БАЗ (0)'!D68</f>
        <v>50</v>
      </c>
      <c r="E68" s="8">
        <f t="shared" si="1"/>
        <v>0</v>
      </c>
      <c r="F68" s="10"/>
      <c r="G68" s="10"/>
      <c r="H68" s="10"/>
      <c r="I68" s="10">
        <v>10</v>
      </c>
      <c r="J68" s="8">
        <v>9.77</v>
      </c>
      <c r="K68" s="7">
        <v>0</v>
      </c>
      <c r="L68" s="8">
        <v>0</v>
      </c>
      <c r="M68" s="7">
        <v>0</v>
      </c>
      <c r="N68" s="8">
        <v>0</v>
      </c>
      <c r="O68" s="9">
        <f t="shared" si="3"/>
        <v>0</v>
      </c>
      <c r="P68" s="15"/>
      <c r="Q68" s="7">
        <v>0</v>
      </c>
      <c r="R68" s="8">
        <v>0</v>
      </c>
      <c r="T68" s="56">
        <v>0</v>
      </c>
      <c r="U68" s="84">
        <f>IFERROR((VLOOKUP($B68,#REF!,18,FALSE)),0)</f>
        <v>0</v>
      </c>
      <c r="V68" s="83"/>
      <c r="W68" s="84">
        <f>IFERROR((VLOOKUP($B68,#REF!,21,FALSE)),0)</f>
        <v>0</v>
      </c>
      <c r="Y68" s="8"/>
    </row>
    <row r="69" spans="1:25" s="16" customFormat="1" x14ac:dyDescent="0.25">
      <c r="A69" s="5">
        <v>62</v>
      </c>
      <c r="B69" s="5">
        <v>391400</v>
      </c>
      <c r="C69" s="63" t="s">
        <v>72</v>
      </c>
      <c r="D69" s="7">
        <f>'АПП БАЗ (0)'!D70</f>
        <v>0</v>
      </c>
      <c r="E69" s="8">
        <f t="shared" si="1"/>
        <v>3381.63</v>
      </c>
      <c r="F69" s="10"/>
      <c r="G69" s="10"/>
      <c r="H69" s="10"/>
      <c r="I69" s="66">
        <v>3000</v>
      </c>
      <c r="J69" s="8">
        <v>6328.51</v>
      </c>
      <c r="K69" s="7">
        <v>0</v>
      </c>
      <c r="L69" s="8">
        <v>0</v>
      </c>
      <c r="M69" s="7">
        <v>0</v>
      </c>
      <c r="N69" s="8">
        <v>0</v>
      </c>
      <c r="O69" s="9">
        <f t="shared" si="3"/>
        <v>3381.63</v>
      </c>
      <c r="P69" s="15"/>
      <c r="Q69" s="7">
        <v>0</v>
      </c>
      <c r="R69" s="8">
        <v>0</v>
      </c>
      <c r="T69" s="56">
        <v>3381.63</v>
      </c>
      <c r="U69" s="84">
        <f>IFERROR((VLOOKUP($B69,#REF!,18,FALSE)),0)</f>
        <v>0</v>
      </c>
      <c r="V69" s="83"/>
      <c r="W69" s="84">
        <f>IFERROR((VLOOKUP($B69,#REF!,21,FALSE)),0)</f>
        <v>0</v>
      </c>
      <c r="Y69" s="8">
        <v>3381.63</v>
      </c>
    </row>
    <row r="70" spans="1:25" s="16" customFormat="1" ht="14.25" customHeight="1" x14ac:dyDescent="0.25">
      <c r="A70" s="5">
        <v>63</v>
      </c>
      <c r="B70" s="5">
        <v>391370</v>
      </c>
      <c r="C70" s="63" t="s">
        <v>73</v>
      </c>
      <c r="D70" s="7">
        <f>'АПП БАЗ (0)'!D71</f>
        <v>0</v>
      </c>
      <c r="E70" s="8">
        <f t="shared" si="1"/>
        <v>2037.7618</v>
      </c>
      <c r="F70" s="10"/>
      <c r="G70" s="10"/>
      <c r="H70" s="10"/>
      <c r="I70" s="66">
        <v>479</v>
      </c>
      <c r="J70" s="8">
        <v>2037.76</v>
      </c>
      <c r="K70" s="7"/>
      <c r="L70" s="8"/>
      <c r="M70" s="7"/>
      <c r="N70" s="8"/>
      <c r="O70" s="9">
        <f t="shared" si="3"/>
        <v>2037.7618</v>
      </c>
      <c r="P70" s="15"/>
      <c r="Q70" s="7">
        <v>0</v>
      </c>
      <c r="R70" s="8">
        <v>0</v>
      </c>
      <c r="T70" s="56">
        <v>2037.7618</v>
      </c>
      <c r="U70" s="84">
        <f>IFERROR((VLOOKUP($B70,#REF!,18,FALSE)),0)</f>
        <v>0</v>
      </c>
      <c r="V70" s="83"/>
      <c r="W70" s="84">
        <f>IFERROR((VLOOKUP($B70,#REF!,21,FALSE)),0)</f>
        <v>0</v>
      </c>
      <c r="Y70" s="8">
        <v>2037.7618</v>
      </c>
    </row>
    <row r="71" spans="1:25" s="24" customFormat="1" ht="14.25" x14ac:dyDescent="0.2">
      <c r="A71" s="17"/>
      <c r="B71" s="17"/>
      <c r="C71" s="18" t="s">
        <v>74</v>
      </c>
      <c r="D71" s="19">
        <v>37925</v>
      </c>
      <c r="E71" s="57">
        <v>58612.5</v>
      </c>
      <c r="F71" s="20"/>
      <c r="G71" s="20"/>
      <c r="H71" s="20"/>
      <c r="I71" s="20"/>
      <c r="J71" s="21"/>
      <c r="K71" s="19">
        <v>0</v>
      </c>
      <c r="L71" s="57">
        <v>0</v>
      </c>
      <c r="M71" s="19">
        <v>0</v>
      </c>
      <c r="N71" s="57">
        <v>-3.000000084284693E-3</v>
      </c>
      <c r="O71" s="22">
        <v>58612.5</v>
      </c>
      <c r="P71" s="23"/>
      <c r="R71" s="53"/>
      <c r="Y71" s="57">
        <v>58612.5</v>
      </c>
    </row>
    <row r="72" spans="1:25" s="69" customFormat="1" ht="14.25" customHeight="1" x14ac:dyDescent="0.2">
      <c r="A72" s="72"/>
      <c r="B72" s="72"/>
      <c r="C72" s="73" t="s">
        <v>105</v>
      </c>
      <c r="D72" s="25"/>
      <c r="E72" s="26"/>
      <c r="F72" s="27"/>
      <c r="G72" s="27"/>
      <c r="H72" s="27"/>
      <c r="I72" s="27"/>
      <c r="J72" s="28"/>
      <c r="K72" s="25">
        <v>821</v>
      </c>
      <c r="L72" s="26">
        <v>2104.4620000000577</v>
      </c>
      <c r="M72" s="25"/>
      <c r="N72" s="26"/>
      <c r="O72" s="29">
        <f>L72</f>
        <v>2104.4620000000577</v>
      </c>
      <c r="P72" s="74"/>
      <c r="Q72" s="75">
        <f>SUM(Q8:Q71)</f>
        <v>528614</v>
      </c>
      <c r="R72" s="76">
        <f>SUM(R8:R71)</f>
        <v>353080.17050000007</v>
      </c>
      <c r="T72" s="76">
        <f>SUM(T8:T71)</f>
        <v>4028520.5868699998</v>
      </c>
      <c r="Y72" s="87"/>
    </row>
    <row r="73" spans="1:25" s="37" customFormat="1" ht="14.25" customHeight="1" x14ac:dyDescent="0.2">
      <c r="A73" s="32"/>
      <c r="B73" s="32"/>
      <c r="C73" s="33" t="s">
        <v>76</v>
      </c>
      <c r="D73" s="34">
        <v>341262</v>
      </c>
      <c r="E73" s="35">
        <v>519500.06999999989</v>
      </c>
      <c r="F73" s="34"/>
      <c r="G73" s="35"/>
      <c r="H73" s="35"/>
      <c r="I73" s="35"/>
      <c r="J73" s="35"/>
      <c r="K73" s="34">
        <v>216557</v>
      </c>
      <c r="L73" s="35">
        <v>119753.053</v>
      </c>
      <c r="M73" s="34">
        <v>14936</v>
      </c>
      <c r="N73" s="35">
        <v>12584.54</v>
      </c>
      <c r="O73" s="58">
        <v>651837.66299999994</v>
      </c>
      <c r="P73" s="36"/>
      <c r="R73" s="54"/>
      <c r="Y73" s="86">
        <f>SUM(Y8:Y72)</f>
        <v>2174746.3274999992</v>
      </c>
    </row>
    <row r="74" spans="1:25" s="31" customFormat="1" ht="14.25" x14ac:dyDescent="0.2">
      <c r="A74" s="38"/>
      <c r="B74" s="38"/>
      <c r="C74" s="71" t="s">
        <v>75</v>
      </c>
      <c r="D74" s="39">
        <f>SUM(D8:D73)</f>
        <v>1876120</v>
      </c>
      <c r="E74" s="40">
        <f>SUM(E8:E73)</f>
        <v>2694246.397499999</v>
      </c>
      <c r="F74" s="40"/>
      <c r="G74" s="40"/>
      <c r="H74" s="40"/>
      <c r="I74" s="40"/>
      <c r="J74" s="40"/>
      <c r="K74" s="39">
        <f t="shared" ref="K74:O74" si="4">SUM(K8:K73)</f>
        <v>2933897</v>
      </c>
      <c r="L74" s="40">
        <f t="shared" si="4"/>
        <v>1677097.4850000001</v>
      </c>
      <c r="M74" s="39">
        <f t="shared" si="4"/>
        <v>540718</v>
      </c>
      <c r="N74" s="40">
        <f t="shared" si="4"/>
        <v>363092.11869999999</v>
      </c>
      <c r="O74" s="59">
        <f t="shared" si="4"/>
        <v>4734436.0042000003</v>
      </c>
      <c r="P74" s="30"/>
      <c r="R74" s="50"/>
      <c r="Y74" s="37"/>
    </row>
    <row r="75" spans="1:25" s="45" customFormat="1" x14ac:dyDescent="0.25">
      <c r="A75" s="41"/>
      <c r="B75" s="41"/>
      <c r="C75" s="42" t="s">
        <v>77</v>
      </c>
      <c r="D75" s="43">
        <v>1790078</v>
      </c>
      <c r="E75" s="44">
        <v>2694246.398</v>
      </c>
      <c r="F75" s="44"/>
      <c r="G75" s="44"/>
      <c r="H75" s="44"/>
      <c r="I75" s="44"/>
      <c r="J75" s="44"/>
      <c r="K75" s="43">
        <v>2933897</v>
      </c>
      <c r="L75" s="44">
        <v>1677097.4850000001</v>
      </c>
      <c r="M75" s="43">
        <v>540718</v>
      </c>
      <c r="N75" s="44">
        <v>363092.13699999999</v>
      </c>
      <c r="O75" s="60">
        <v>4734436.0199999996</v>
      </c>
      <c r="P75" s="51">
        <f>(O75-O71)/12</f>
        <v>389651.95999999996</v>
      </c>
      <c r="R75" s="55"/>
      <c r="Y75" s="31"/>
    </row>
    <row r="76" spans="1:25" x14ac:dyDescent="0.25">
      <c r="D76" s="49">
        <f>D75-D74</f>
        <v>-86042</v>
      </c>
      <c r="E76" s="48">
        <f>E75-E74</f>
        <v>5.0000101327896118E-4</v>
      </c>
      <c r="O76" s="46">
        <f>O75-O74</f>
        <v>1.5799999237060547E-2</v>
      </c>
      <c r="Y76" s="50"/>
    </row>
    <row r="77" spans="1:25" x14ac:dyDescent="0.25">
      <c r="C77" s="12" t="s">
        <v>79</v>
      </c>
      <c r="D77" s="49">
        <f>D75-D71</f>
        <v>1752153</v>
      </c>
      <c r="E77" s="48">
        <f>E75-E71</f>
        <v>2635633.898</v>
      </c>
      <c r="F77" s="49">
        <f>F72-F71</f>
        <v>0</v>
      </c>
      <c r="G77" s="48">
        <f>G72-G71</f>
        <v>0</v>
      </c>
      <c r="H77" s="48"/>
      <c r="I77" s="49">
        <f>I72-I71</f>
        <v>0</v>
      </c>
      <c r="J77" s="48">
        <f>J72-J71</f>
        <v>0</v>
      </c>
      <c r="K77" s="49">
        <f>K72-K71</f>
        <v>821</v>
      </c>
      <c r="L77" s="48">
        <f>L75-L71</f>
        <v>1677097.4850000001</v>
      </c>
      <c r="M77" s="49">
        <f>M72-M71</f>
        <v>0</v>
      </c>
      <c r="N77" s="48">
        <f>N72-N71</f>
        <v>3.000000084284693E-3</v>
      </c>
      <c r="O77" s="48">
        <f>O75-O71</f>
        <v>4675823.5199999996</v>
      </c>
      <c r="Y77" s="45"/>
    </row>
    <row r="78" spans="1:25" x14ac:dyDescent="0.25">
      <c r="C78" s="12" t="s">
        <v>80</v>
      </c>
      <c r="D78" s="49">
        <f t="shared" ref="D78:N78" si="5">D77/12</f>
        <v>146012.75</v>
      </c>
      <c r="E78" s="48">
        <f t="shared" si="5"/>
        <v>219636.15816666666</v>
      </c>
      <c r="F78" s="49">
        <f t="shared" si="5"/>
        <v>0</v>
      </c>
      <c r="G78" s="48">
        <f t="shared" si="5"/>
        <v>0</v>
      </c>
      <c r="H78" s="48"/>
      <c r="I78" s="49">
        <f t="shared" si="5"/>
        <v>0</v>
      </c>
      <c r="J78" s="48">
        <f t="shared" si="5"/>
        <v>0</v>
      </c>
      <c r="K78" s="49">
        <f t="shared" si="5"/>
        <v>68.416666666666671</v>
      </c>
      <c r="L78" s="48">
        <f t="shared" si="5"/>
        <v>139758.12375</v>
      </c>
      <c r="M78" s="49">
        <f t="shared" si="5"/>
        <v>0</v>
      </c>
      <c r="N78" s="48">
        <f t="shared" si="5"/>
        <v>2.5000000702372443E-4</v>
      </c>
      <c r="O78" s="48">
        <f>O77/12</f>
        <v>389651.95999999996</v>
      </c>
    </row>
    <row r="79" spans="1:25" x14ac:dyDescent="0.25">
      <c r="C79" s="12" t="s">
        <v>81</v>
      </c>
      <c r="D79" s="49">
        <v>146012.75</v>
      </c>
      <c r="E79" s="49">
        <v>219636.15816666666</v>
      </c>
      <c r="F79" s="49">
        <f>F78</f>
        <v>0</v>
      </c>
      <c r="G79" s="48">
        <f t="shared" ref="G79:J79" si="6">G78</f>
        <v>0</v>
      </c>
      <c r="H79" s="48"/>
      <c r="I79" s="49">
        <f t="shared" si="6"/>
        <v>0</v>
      </c>
      <c r="J79" s="48">
        <f t="shared" si="6"/>
        <v>0</v>
      </c>
      <c r="K79" s="49">
        <v>68.416666666666671</v>
      </c>
      <c r="L79" s="48">
        <v>139758.12375</v>
      </c>
      <c r="M79" s="49">
        <v>0</v>
      </c>
      <c r="N79" s="48">
        <v>2.5000000702372443E-4</v>
      </c>
      <c r="O79" s="50">
        <v>389651.95999999996</v>
      </c>
    </row>
    <row r="81" spans="1:25" s="4" customFormat="1" x14ac:dyDescent="0.25">
      <c r="A81" s="47"/>
      <c r="B81" s="47"/>
      <c r="C81" s="12"/>
      <c r="D81" s="49">
        <f>SUM(D8:D53)</f>
        <v>1496733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46">
        <f>O72-O71</f>
        <v>-56508.037999999942</v>
      </c>
      <c r="Q81" s="12"/>
      <c r="R81" s="48"/>
      <c r="S81" s="12"/>
      <c r="T81" s="12"/>
      <c r="Y81" s="12"/>
    </row>
    <row r="82" spans="1:25" s="4" customFormat="1" x14ac:dyDescent="0.2">
      <c r="A82" s="47"/>
      <c r="B82" s="78">
        <v>1</v>
      </c>
      <c r="C82" s="79">
        <v>2</v>
      </c>
      <c r="D82" s="78">
        <v>3</v>
      </c>
      <c r="E82" s="79">
        <v>4</v>
      </c>
      <c r="F82" s="78">
        <v>5</v>
      </c>
      <c r="G82" s="79">
        <v>6</v>
      </c>
      <c r="H82" s="79"/>
      <c r="I82" s="78">
        <v>7</v>
      </c>
      <c r="J82" s="79">
        <v>8</v>
      </c>
      <c r="K82" s="78">
        <v>9</v>
      </c>
      <c r="L82" s="79">
        <v>10</v>
      </c>
      <c r="M82" s="78">
        <v>11</v>
      </c>
      <c r="N82" s="79">
        <v>12</v>
      </c>
      <c r="O82" s="78">
        <v>13</v>
      </c>
      <c r="P82" s="79">
        <v>14</v>
      </c>
      <c r="Q82" s="78">
        <v>15</v>
      </c>
      <c r="R82" s="79">
        <v>16</v>
      </c>
      <c r="S82" s="78">
        <v>17</v>
      </c>
      <c r="T82" s="79">
        <v>18</v>
      </c>
      <c r="U82" s="78">
        <v>19</v>
      </c>
      <c r="V82" s="79">
        <v>20</v>
      </c>
      <c r="W82" s="78">
        <v>21</v>
      </c>
      <c r="X82" s="79">
        <v>22</v>
      </c>
      <c r="Y82" s="78">
        <v>23</v>
      </c>
    </row>
    <row r="83" spans="1:25" s="4" customFormat="1" x14ac:dyDescent="0.25">
      <c r="A83" s="47"/>
      <c r="B83" s="47"/>
      <c r="C83" s="12"/>
      <c r="D83" s="49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46">
        <f>O77-O72</f>
        <v>4673719.0579999993</v>
      </c>
      <c r="Q83" s="12"/>
      <c r="R83" s="48"/>
      <c r="S83" s="12"/>
      <c r="T83" s="12"/>
    </row>
    <row r="84" spans="1:25" s="4" customFormat="1" x14ac:dyDescent="0.25">
      <c r="A84" s="47"/>
      <c r="B84" s="47"/>
      <c r="C84" s="12"/>
      <c r="D84" s="49">
        <f>SUM(D8:D70)</f>
        <v>1496933</v>
      </c>
      <c r="E84" s="48">
        <f>SUM(E8:E70)</f>
        <v>2116133.8274999992</v>
      </c>
      <c r="F84" s="12"/>
      <c r="G84" s="12"/>
      <c r="H84" s="12"/>
      <c r="I84" s="12"/>
      <c r="J84" s="12"/>
      <c r="K84" s="49">
        <f>SUM(K8:K70)</f>
        <v>2716519</v>
      </c>
      <c r="L84" s="49">
        <f>SUM(L8:L70)</f>
        <v>1555239.97</v>
      </c>
      <c r="M84" s="12"/>
      <c r="N84" s="12"/>
      <c r="O84" s="46"/>
      <c r="Q84" s="12"/>
      <c r="R84" s="48"/>
      <c r="S84" s="12"/>
      <c r="T84" s="12"/>
    </row>
    <row r="85" spans="1:25" x14ac:dyDescent="0.25">
      <c r="D85" s="49">
        <f>D84/12*5</f>
        <v>623722.08333333337</v>
      </c>
      <c r="E85" s="48">
        <f>E84/12*5</f>
        <v>881722.42812499974</v>
      </c>
      <c r="Y85" s="4"/>
    </row>
    <row r="86" spans="1:25" x14ac:dyDescent="0.25">
      <c r="Y86" s="4"/>
    </row>
  </sheetData>
  <autoFilter ref="A7:T7" xr:uid="{00000000-0009-0000-0000-000003000000}"/>
  <mergeCells count="13">
    <mergeCell ref="O6:O7"/>
    <mergeCell ref="Q6:R6"/>
    <mergeCell ref="T6:T7"/>
    <mergeCell ref="A4:O4"/>
    <mergeCell ref="A5:O5"/>
    <mergeCell ref="A6:A7"/>
    <mergeCell ref="B6:B7"/>
    <mergeCell ref="C6:C7"/>
    <mergeCell ref="D6:E6"/>
    <mergeCell ref="F6:G6"/>
    <mergeCell ref="I6:J6"/>
    <mergeCell ref="K6:L6"/>
    <mergeCell ref="M6:N6"/>
  </mergeCells>
  <pageMargins left="0.78740157480314965" right="0.39370078740157483" top="0.78740157480314965" bottom="0.78740157480314965" header="0" footer="0"/>
  <pageSetup paperSize="9" scale="67" fitToHeight="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287FD-F2C1-42E5-9EB8-87F9CF14E4AB}">
  <sheetPr>
    <pageSetUpPr fitToPage="1"/>
  </sheetPr>
  <dimension ref="A1:H106"/>
  <sheetViews>
    <sheetView tabSelected="1" zoomScaleNormal="100" workbookViewId="0">
      <pane xSplit="3" ySplit="12" topLeftCell="D52" activePane="bottomRight" state="frozen"/>
      <selection pane="topRight" activeCell="D1" sqref="D1"/>
      <selection pane="bottomLeft" activeCell="A7" sqref="A7"/>
      <selection pane="bottomRight" activeCell="H1" sqref="H1"/>
    </sheetView>
  </sheetViews>
  <sheetFormatPr defaultColWidth="9.140625" defaultRowHeight="15" x14ac:dyDescent="0.25"/>
  <cols>
    <col min="1" max="1" width="5.7109375" style="320" customWidth="1"/>
    <col min="2" max="2" width="9.28515625" style="320" hidden="1" customWidth="1"/>
    <col min="3" max="3" width="38.7109375" style="16" customWidth="1"/>
    <col min="4" max="4" width="20.7109375" style="16" customWidth="1"/>
    <col min="5" max="6" width="19" style="16" customWidth="1"/>
    <col min="7" max="7" width="12" style="16" customWidth="1"/>
    <col min="8" max="8" width="18.85546875" style="16" customWidth="1"/>
    <col min="9" max="16384" width="9.140625" style="16"/>
  </cols>
  <sheetData>
    <row r="1" spans="1:8" ht="15.75" x14ac:dyDescent="0.25">
      <c r="H1" s="576" t="s">
        <v>364</v>
      </c>
    </row>
    <row r="2" spans="1:8" ht="15.75" x14ac:dyDescent="0.25">
      <c r="H2" s="576" t="s">
        <v>362</v>
      </c>
    </row>
    <row r="3" spans="1:8" ht="15.75" x14ac:dyDescent="0.25">
      <c r="H3" s="576" t="s">
        <v>363</v>
      </c>
    </row>
    <row r="5" spans="1:8" ht="15.75" x14ac:dyDescent="0.25">
      <c r="A5" s="189"/>
      <c r="B5" s="189"/>
      <c r="C5" s="562"/>
      <c r="D5" s="562"/>
      <c r="E5" s="562"/>
      <c r="F5" s="562"/>
      <c r="G5" s="562"/>
      <c r="H5" s="563" t="s">
        <v>225</v>
      </c>
    </row>
    <row r="6" spans="1:8" ht="15.75" x14ac:dyDescent="0.25">
      <c r="A6" s="189"/>
      <c r="B6" s="189"/>
      <c r="C6" s="562"/>
      <c r="D6" s="562"/>
      <c r="E6" s="562"/>
      <c r="F6" s="562"/>
      <c r="G6" s="562"/>
      <c r="H6" s="563" t="s">
        <v>226</v>
      </c>
    </row>
    <row r="7" spans="1:8" ht="15.75" x14ac:dyDescent="0.25">
      <c r="A7" s="189"/>
      <c r="B7" s="189"/>
      <c r="C7" s="562"/>
      <c r="D7" s="562"/>
      <c r="E7" s="562"/>
      <c r="F7" s="562"/>
      <c r="G7" s="562"/>
      <c r="H7" s="563" t="s">
        <v>227</v>
      </c>
    </row>
    <row r="8" spans="1:8" ht="45" customHeight="1" x14ac:dyDescent="0.25">
      <c r="A8" s="587" t="s">
        <v>329</v>
      </c>
      <c r="B8" s="587"/>
      <c r="C8" s="587"/>
      <c r="D8" s="587"/>
      <c r="E8" s="587"/>
      <c r="F8" s="587"/>
      <c r="G8" s="587"/>
      <c r="H8" s="587"/>
    </row>
    <row r="9" spans="1:8" s="15" customFormat="1" ht="14.45" customHeight="1" x14ac:dyDescent="0.25">
      <c r="A9" s="564" t="s">
        <v>3</v>
      </c>
      <c r="B9" s="564"/>
      <c r="C9" s="564"/>
      <c r="D9" s="564"/>
      <c r="E9" s="564"/>
      <c r="F9" s="564"/>
      <c r="G9" s="564"/>
      <c r="H9" s="564"/>
    </row>
    <row r="10" spans="1:8" s="15" customFormat="1" ht="12.75" customHeight="1" x14ac:dyDescent="0.25">
      <c r="A10" s="588"/>
      <c r="B10" s="588"/>
      <c r="C10" s="588"/>
      <c r="D10" s="588"/>
      <c r="E10" s="588"/>
      <c r="F10" s="588"/>
      <c r="G10" s="588"/>
      <c r="H10" s="588"/>
    </row>
    <row r="11" spans="1:8" s="15" customFormat="1" ht="56.25" customHeight="1" x14ac:dyDescent="0.25">
      <c r="A11" s="589" t="s">
        <v>4</v>
      </c>
      <c r="B11" s="590" t="s">
        <v>5</v>
      </c>
      <c r="C11" s="589" t="s">
        <v>6</v>
      </c>
      <c r="D11" s="565" t="s">
        <v>7</v>
      </c>
      <c r="E11" s="565" t="s">
        <v>9</v>
      </c>
      <c r="F11" s="565" t="s">
        <v>10</v>
      </c>
      <c r="G11" s="565" t="s">
        <v>328</v>
      </c>
      <c r="H11" s="566" t="s">
        <v>75</v>
      </c>
    </row>
    <row r="12" spans="1:8" s="15" customFormat="1" ht="42" customHeight="1" x14ac:dyDescent="0.25">
      <c r="A12" s="589"/>
      <c r="B12" s="590"/>
      <c r="C12" s="589"/>
      <c r="D12" s="145" t="s">
        <v>12</v>
      </c>
      <c r="E12" s="145" t="s">
        <v>12</v>
      </c>
      <c r="F12" s="145" t="s">
        <v>12</v>
      </c>
      <c r="G12" s="145" t="s">
        <v>12</v>
      </c>
      <c r="H12" s="566" t="s">
        <v>11</v>
      </c>
    </row>
    <row r="13" spans="1:8" s="15" customFormat="1" ht="30" x14ac:dyDescent="0.25">
      <c r="A13" s="5">
        <v>1</v>
      </c>
      <c r="B13" s="5">
        <v>390930</v>
      </c>
      <c r="C13" s="6" t="s">
        <v>330</v>
      </c>
      <c r="D13" s="7">
        <v>0</v>
      </c>
      <c r="E13" s="7">
        <v>19189</v>
      </c>
      <c r="F13" s="7">
        <v>0</v>
      </c>
      <c r="G13" s="7"/>
      <c r="H13" s="567">
        <v>37015.831169999998</v>
      </c>
    </row>
    <row r="14" spans="1:8" s="15" customFormat="1" ht="15.75" x14ac:dyDescent="0.25">
      <c r="A14" s="5">
        <v>2</v>
      </c>
      <c r="B14" s="5">
        <v>390800</v>
      </c>
      <c r="C14" s="6" t="s">
        <v>16</v>
      </c>
      <c r="D14" s="7">
        <v>150</v>
      </c>
      <c r="E14" s="7">
        <v>54672</v>
      </c>
      <c r="F14" s="7">
        <v>36050</v>
      </c>
      <c r="G14" s="7"/>
      <c r="H14" s="567">
        <v>118096.04057999999</v>
      </c>
    </row>
    <row r="15" spans="1:8" s="15" customFormat="1" ht="15.75" x14ac:dyDescent="0.25">
      <c r="A15" s="5">
        <v>3</v>
      </c>
      <c r="B15" s="5">
        <v>391100</v>
      </c>
      <c r="C15" s="6" t="s">
        <v>18</v>
      </c>
      <c r="D15" s="7">
        <v>0</v>
      </c>
      <c r="E15" s="7">
        <v>5071</v>
      </c>
      <c r="F15" s="7">
        <v>0</v>
      </c>
      <c r="G15" s="7"/>
      <c r="H15" s="567">
        <v>21537.830619999993</v>
      </c>
    </row>
    <row r="16" spans="1:8" s="15" customFormat="1" ht="30" x14ac:dyDescent="0.25">
      <c r="A16" s="5">
        <v>4</v>
      </c>
      <c r="B16" s="5">
        <v>390470</v>
      </c>
      <c r="C16" s="6" t="s">
        <v>14</v>
      </c>
      <c r="D16" s="7">
        <v>4931</v>
      </c>
      <c r="E16" s="7">
        <v>173240</v>
      </c>
      <c r="F16" s="7">
        <v>0</v>
      </c>
      <c r="G16" s="7"/>
      <c r="H16" s="567">
        <v>378379.32790999999</v>
      </c>
    </row>
    <row r="17" spans="1:8" s="15" customFormat="1" ht="30" x14ac:dyDescent="0.25">
      <c r="A17" s="5">
        <v>5</v>
      </c>
      <c r="B17" s="5">
        <v>390762</v>
      </c>
      <c r="C17" s="6" t="s">
        <v>83</v>
      </c>
      <c r="D17" s="7">
        <v>0</v>
      </c>
      <c r="E17" s="7">
        <v>1223</v>
      </c>
      <c r="F17" s="7">
        <v>0</v>
      </c>
      <c r="G17" s="7">
        <v>881</v>
      </c>
      <c r="H17" s="567">
        <v>16712.434640000094</v>
      </c>
    </row>
    <row r="18" spans="1:8" s="15" customFormat="1" ht="30" x14ac:dyDescent="0.25">
      <c r="A18" s="5">
        <v>6</v>
      </c>
      <c r="B18" s="5">
        <v>390050</v>
      </c>
      <c r="C18" s="6" t="s">
        <v>331</v>
      </c>
      <c r="D18" s="7">
        <v>23284</v>
      </c>
      <c r="E18" s="7">
        <v>53995</v>
      </c>
      <c r="F18" s="7">
        <v>0</v>
      </c>
      <c r="G18" s="7"/>
      <c r="H18" s="567">
        <v>64182.824779999959</v>
      </c>
    </row>
    <row r="19" spans="1:8" s="15" customFormat="1" ht="30" x14ac:dyDescent="0.25">
      <c r="A19" s="5">
        <v>7</v>
      </c>
      <c r="B19" s="5">
        <v>390070</v>
      </c>
      <c r="C19" s="6" t="s">
        <v>332</v>
      </c>
      <c r="D19" s="7">
        <v>0</v>
      </c>
      <c r="E19" s="7">
        <v>0</v>
      </c>
      <c r="F19" s="7">
        <v>53502</v>
      </c>
      <c r="G19" s="7"/>
      <c r="H19" s="567">
        <v>97366.674460000097</v>
      </c>
    </row>
    <row r="20" spans="1:8" s="15" customFormat="1" ht="30" x14ac:dyDescent="0.25">
      <c r="A20" s="5">
        <v>8</v>
      </c>
      <c r="B20" s="5">
        <v>390520</v>
      </c>
      <c r="C20" s="6" t="s">
        <v>333</v>
      </c>
      <c r="D20" s="7">
        <v>0</v>
      </c>
      <c r="E20" s="7">
        <v>0</v>
      </c>
      <c r="F20" s="7">
        <v>50494</v>
      </c>
      <c r="G20" s="7"/>
      <c r="H20" s="567">
        <v>33837.164400000212</v>
      </c>
    </row>
    <row r="21" spans="1:8" s="15" customFormat="1" ht="15.75" x14ac:dyDescent="0.25">
      <c r="A21" s="5">
        <v>9</v>
      </c>
      <c r="B21" s="5">
        <v>390130</v>
      </c>
      <c r="C21" s="6" t="s">
        <v>334</v>
      </c>
      <c r="D21" s="7">
        <v>1257</v>
      </c>
      <c r="E21" s="7">
        <v>63494</v>
      </c>
      <c r="F21" s="7">
        <v>0</v>
      </c>
      <c r="G21" s="7"/>
      <c r="H21" s="567">
        <v>32036.690219999993</v>
      </c>
    </row>
    <row r="22" spans="1:8" s="15" customFormat="1" ht="15.75" x14ac:dyDescent="0.25">
      <c r="A22" s="5">
        <v>10</v>
      </c>
      <c r="B22" s="5">
        <v>390680</v>
      </c>
      <c r="C22" s="6" t="s">
        <v>335</v>
      </c>
      <c r="D22" s="7">
        <v>6680</v>
      </c>
      <c r="E22" s="7">
        <v>68478</v>
      </c>
      <c r="F22" s="7">
        <v>0</v>
      </c>
      <c r="G22" s="7"/>
      <c r="H22" s="567">
        <v>47046.972110000039</v>
      </c>
    </row>
    <row r="23" spans="1:8" s="15" customFormat="1" ht="15.75" x14ac:dyDescent="0.25">
      <c r="A23" s="5">
        <v>11</v>
      </c>
      <c r="B23" s="5">
        <v>390700</v>
      </c>
      <c r="C23" s="6" t="s">
        <v>336</v>
      </c>
      <c r="D23" s="7">
        <v>329</v>
      </c>
      <c r="E23" s="7">
        <v>1849</v>
      </c>
      <c r="F23" s="7">
        <v>0</v>
      </c>
      <c r="G23" s="7"/>
      <c r="H23" s="567">
        <v>1326.705359999999</v>
      </c>
    </row>
    <row r="24" spans="1:8" s="15" customFormat="1" ht="30" x14ac:dyDescent="0.25">
      <c r="A24" s="5">
        <v>12</v>
      </c>
      <c r="B24" s="5">
        <v>391610</v>
      </c>
      <c r="C24" s="6" t="s">
        <v>337</v>
      </c>
      <c r="D24" s="7">
        <v>0</v>
      </c>
      <c r="E24" s="7">
        <v>20763</v>
      </c>
      <c r="F24" s="7">
        <v>0</v>
      </c>
      <c r="G24" s="7"/>
      <c r="H24" s="567">
        <v>46535.28131000002</v>
      </c>
    </row>
    <row r="25" spans="1:8" s="15" customFormat="1" ht="30" x14ac:dyDescent="0.25">
      <c r="A25" s="5">
        <v>13</v>
      </c>
      <c r="B25" s="5">
        <v>390440</v>
      </c>
      <c r="C25" s="6" t="s">
        <v>20</v>
      </c>
      <c r="D25" s="7">
        <v>34964</v>
      </c>
      <c r="E25" s="7">
        <v>254986</v>
      </c>
      <c r="F25" s="7">
        <v>27816</v>
      </c>
      <c r="G25" s="7">
        <v>159</v>
      </c>
      <c r="H25" s="567">
        <v>354844.22973306564</v>
      </c>
    </row>
    <row r="26" spans="1:8" s="15" customFormat="1" ht="15.75" x14ac:dyDescent="0.25">
      <c r="A26" s="5">
        <v>14</v>
      </c>
      <c r="B26" s="5">
        <v>390100</v>
      </c>
      <c r="C26" s="6" t="s">
        <v>23</v>
      </c>
      <c r="D26" s="7">
        <v>17082</v>
      </c>
      <c r="E26" s="7">
        <v>249499</v>
      </c>
      <c r="F26" s="7">
        <v>27222</v>
      </c>
      <c r="G26" s="7"/>
      <c r="H26" s="567">
        <v>242502.75824113854</v>
      </c>
    </row>
    <row r="27" spans="1:8" s="15" customFormat="1" ht="15.75" x14ac:dyDescent="0.25">
      <c r="A27" s="5">
        <v>15</v>
      </c>
      <c r="B27" s="5">
        <v>390090</v>
      </c>
      <c r="C27" s="6" t="s">
        <v>24</v>
      </c>
      <c r="D27" s="7">
        <v>31338</v>
      </c>
      <c r="E27" s="7">
        <v>151178</v>
      </c>
      <c r="F27" s="7">
        <v>24578</v>
      </c>
      <c r="G27" s="7"/>
      <c r="H27" s="567">
        <v>243248.71416653538</v>
      </c>
    </row>
    <row r="28" spans="1:8" s="15" customFormat="1" ht="15.75" x14ac:dyDescent="0.25">
      <c r="A28" s="5">
        <v>16</v>
      </c>
      <c r="B28" s="5">
        <v>390400</v>
      </c>
      <c r="C28" s="6" t="s">
        <v>25</v>
      </c>
      <c r="D28" s="7">
        <v>67129</v>
      </c>
      <c r="E28" s="7">
        <v>410721</v>
      </c>
      <c r="F28" s="7">
        <v>40749</v>
      </c>
      <c r="G28" s="7"/>
      <c r="H28" s="567">
        <v>544675.14484982169</v>
      </c>
    </row>
    <row r="29" spans="1:8" s="15" customFormat="1" ht="15.75" x14ac:dyDescent="0.25">
      <c r="A29" s="5">
        <v>17</v>
      </c>
      <c r="B29" s="5">
        <v>390110</v>
      </c>
      <c r="C29" s="6" t="s">
        <v>338</v>
      </c>
      <c r="D29" s="7">
        <v>5862</v>
      </c>
      <c r="E29" s="7">
        <v>31652</v>
      </c>
      <c r="F29" s="7">
        <v>4717</v>
      </c>
      <c r="G29" s="7"/>
      <c r="H29" s="567">
        <v>42593.874539480312</v>
      </c>
    </row>
    <row r="30" spans="1:8" s="15" customFormat="1" ht="30" x14ac:dyDescent="0.25">
      <c r="A30" s="5">
        <v>18</v>
      </c>
      <c r="B30" s="5">
        <v>390890</v>
      </c>
      <c r="C30" s="6" t="s">
        <v>339</v>
      </c>
      <c r="D30" s="7">
        <v>77017</v>
      </c>
      <c r="E30" s="7">
        <v>542970</v>
      </c>
      <c r="F30" s="7">
        <v>55484</v>
      </c>
      <c r="G30" s="7">
        <v>1298</v>
      </c>
      <c r="H30" s="567">
        <v>693660.30432164343</v>
      </c>
    </row>
    <row r="31" spans="1:8" s="15" customFormat="1" ht="15.75" x14ac:dyDescent="0.25">
      <c r="A31" s="5">
        <v>19</v>
      </c>
      <c r="B31" s="5">
        <v>390200</v>
      </c>
      <c r="C31" s="6" t="s">
        <v>29</v>
      </c>
      <c r="D31" s="7">
        <v>10305</v>
      </c>
      <c r="E31" s="7">
        <v>68851</v>
      </c>
      <c r="F31" s="7">
        <v>2325</v>
      </c>
      <c r="G31" s="7"/>
      <c r="H31" s="567">
        <v>122867.94744617527</v>
      </c>
    </row>
    <row r="32" spans="1:8" s="15" customFormat="1" ht="15.75" x14ac:dyDescent="0.25">
      <c r="A32" s="5">
        <v>20</v>
      </c>
      <c r="B32" s="5">
        <v>390160</v>
      </c>
      <c r="C32" s="6" t="s">
        <v>30</v>
      </c>
      <c r="D32" s="7">
        <v>10896</v>
      </c>
      <c r="E32" s="7">
        <v>51790</v>
      </c>
      <c r="F32" s="7">
        <v>8629</v>
      </c>
      <c r="G32" s="7"/>
      <c r="H32" s="567">
        <v>107008.32280562386</v>
      </c>
    </row>
    <row r="33" spans="1:8" s="15" customFormat="1" ht="15.75" x14ac:dyDescent="0.25">
      <c r="A33" s="5">
        <v>21</v>
      </c>
      <c r="B33" s="568">
        <v>390210</v>
      </c>
      <c r="C33" s="6" t="s">
        <v>31</v>
      </c>
      <c r="D33" s="7">
        <v>12367</v>
      </c>
      <c r="E33" s="7">
        <v>45735</v>
      </c>
      <c r="F33" s="7">
        <v>1014</v>
      </c>
      <c r="G33" s="7"/>
      <c r="H33" s="567">
        <v>119114.80840487119</v>
      </c>
    </row>
    <row r="34" spans="1:8" s="15" customFormat="1" ht="15.75" x14ac:dyDescent="0.25">
      <c r="A34" s="5">
        <v>22</v>
      </c>
      <c r="B34" s="5">
        <v>390220</v>
      </c>
      <c r="C34" s="6" t="s">
        <v>181</v>
      </c>
      <c r="D34" s="7">
        <v>43110</v>
      </c>
      <c r="E34" s="7">
        <v>237800</v>
      </c>
      <c r="F34" s="7">
        <v>12683</v>
      </c>
      <c r="G34" s="7"/>
      <c r="H34" s="567">
        <v>266542.3817085707</v>
      </c>
    </row>
    <row r="35" spans="1:8" s="15" customFormat="1" ht="15.75" x14ac:dyDescent="0.25">
      <c r="A35" s="5">
        <v>23</v>
      </c>
      <c r="B35" s="5">
        <v>390230</v>
      </c>
      <c r="C35" s="6" t="s">
        <v>33</v>
      </c>
      <c r="D35" s="7">
        <v>11813</v>
      </c>
      <c r="E35" s="7">
        <v>102089</v>
      </c>
      <c r="F35" s="7">
        <v>4708</v>
      </c>
      <c r="G35" s="7"/>
      <c r="H35" s="567">
        <v>129071.65645367886</v>
      </c>
    </row>
    <row r="36" spans="1:8" s="15" customFormat="1" ht="15.75" x14ac:dyDescent="0.25">
      <c r="A36" s="5">
        <v>24</v>
      </c>
      <c r="B36" s="5">
        <v>390240</v>
      </c>
      <c r="C36" s="6" t="s">
        <v>34</v>
      </c>
      <c r="D36" s="7">
        <v>11052</v>
      </c>
      <c r="E36" s="7">
        <v>151137</v>
      </c>
      <c r="F36" s="7">
        <v>6241</v>
      </c>
      <c r="G36" s="7"/>
      <c r="H36" s="567">
        <v>170705.00120060644</v>
      </c>
    </row>
    <row r="37" spans="1:8" s="15" customFormat="1" ht="15.75" x14ac:dyDescent="0.25">
      <c r="A37" s="5">
        <v>25</v>
      </c>
      <c r="B37" s="5">
        <v>390290</v>
      </c>
      <c r="C37" s="6" t="s">
        <v>35</v>
      </c>
      <c r="D37" s="7">
        <v>6369</v>
      </c>
      <c r="E37" s="7">
        <v>26367</v>
      </c>
      <c r="F37" s="7">
        <v>3071</v>
      </c>
      <c r="G37" s="7"/>
      <c r="H37" s="567">
        <v>49277.658518787197</v>
      </c>
    </row>
    <row r="38" spans="1:8" s="15" customFormat="1" ht="15.75" x14ac:dyDescent="0.25">
      <c r="A38" s="5">
        <v>26</v>
      </c>
      <c r="B38" s="5">
        <v>390380</v>
      </c>
      <c r="C38" s="6" t="s">
        <v>36</v>
      </c>
      <c r="D38" s="7">
        <v>6921</v>
      </c>
      <c r="E38" s="7">
        <v>13896</v>
      </c>
      <c r="F38" s="7">
        <v>2428</v>
      </c>
      <c r="G38" s="7"/>
      <c r="H38" s="567">
        <v>21852.178048945923</v>
      </c>
    </row>
    <row r="39" spans="1:8" s="15" customFormat="1" ht="15.75" x14ac:dyDescent="0.25">
      <c r="A39" s="5">
        <v>27</v>
      </c>
      <c r="B39" s="5">
        <v>390370</v>
      </c>
      <c r="C39" s="6" t="s">
        <v>37</v>
      </c>
      <c r="D39" s="7">
        <v>12997</v>
      </c>
      <c r="E39" s="7">
        <v>25330</v>
      </c>
      <c r="F39" s="7">
        <v>5049</v>
      </c>
      <c r="G39" s="7"/>
      <c r="H39" s="567">
        <v>47765.205072385477</v>
      </c>
    </row>
    <row r="40" spans="1:8" s="15" customFormat="1" ht="15.75" x14ac:dyDescent="0.25">
      <c r="A40" s="5">
        <v>28</v>
      </c>
      <c r="B40" s="5">
        <v>390480</v>
      </c>
      <c r="C40" s="6" t="s">
        <v>340</v>
      </c>
      <c r="D40" s="7">
        <v>17378</v>
      </c>
      <c r="E40" s="7">
        <v>114186</v>
      </c>
      <c r="F40" s="7">
        <v>9501</v>
      </c>
      <c r="G40" s="7"/>
      <c r="H40" s="567">
        <v>165061.00741870518</v>
      </c>
    </row>
    <row r="41" spans="1:8" s="15" customFormat="1" ht="15.75" x14ac:dyDescent="0.25">
      <c r="A41" s="5">
        <v>29</v>
      </c>
      <c r="B41" s="5">
        <v>390260</v>
      </c>
      <c r="C41" s="6" t="s">
        <v>38</v>
      </c>
      <c r="D41" s="7">
        <v>6704</v>
      </c>
      <c r="E41" s="7">
        <v>44230</v>
      </c>
      <c r="F41" s="7">
        <v>927</v>
      </c>
      <c r="G41" s="7"/>
      <c r="H41" s="567">
        <v>84382.120197798431</v>
      </c>
    </row>
    <row r="42" spans="1:8" s="15" customFormat="1" ht="15.75" x14ac:dyDescent="0.25">
      <c r="A42" s="5">
        <v>30</v>
      </c>
      <c r="B42" s="5">
        <v>390250</v>
      </c>
      <c r="C42" s="6" t="s">
        <v>39</v>
      </c>
      <c r="D42" s="7">
        <v>8097</v>
      </c>
      <c r="E42" s="7">
        <v>38393</v>
      </c>
      <c r="F42" s="7">
        <v>1885</v>
      </c>
      <c r="G42" s="7"/>
      <c r="H42" s="567">
        <v>62808.488828061025</v>
      </c>
    </row>
    <row r="43" spans="1:8" s="15" customFormat="1" ht="15.75" x14ac:dyDescent="0.25">
      <c r="A43" s="5">
        <v>31</v>
      </c>
      <c r="B43" s="5">
        <v>390300</v>
      </c>
      <c r="C43" s="6" t="s">
        <v>40</v>
      </c>
      <c r="D43" s="7">
        <v>7629</v>
      </c>
      <c r="E43" s="7">
        <v>43635</v>
      </c>
      <c r="F43" s="7">
        <v>5946</v>
      </c>
      <c r="G43" s="7"/>
      <c r="H43" s="567">
        <v>64269.850813975601</v>
      </c>
    </row>
    <row r="44" spans="1:8" s="15" customFormat="1" ht="15.75" x14ac:dyDescent="0.25">
      <c r="A44" s="5">
        <v>32</v>
      </c>
      <c r="B44" s="5">
        <v>390310</v>
      </c>
      <c r="C44" s="6" t="s">
        <v>41</v>
      </c>
      <c r="D44" s="7">
        <v>7969</v>
      </c>
      <c r="E44" s="7">
        <v>61414</v>
      </c>
      <c r="F44" s="7">
        <v>5875</v>
      </c>
      <c r="G44" s="7"/>
      <c r="H44" s="567">
        <v>85158.49154213586</v>
      </c>
    </row>
    <row r="45" spans="1:8" s="15" customFormat="1" ht="15.75" x14ac:dyDescent="0.25">
      <c r="A45" s="5">
        <v>33</v>
      </c>
      <c r="B45" s="5">
        <v>390320</v>
      </c>
      <c r="C45" s="6" t="s">
        <v>42</v>
      </c>
      <c r="D45" s="7">
        <v>6567</v>
      </c>
      <c r="E45" s="7">
        <v>58213</v>
      </c>
      <c r="F45" s="7">
        <v>1104</v>
      </c>
      <c r="G45" s="7"/>
      <c r="H45" s="567">
        <v>81484.419330621065</v>
      </c>
    </row>
    <row r="46" spans="1:8" s="15" customFormat="1" ht="15.75" x14ac:dyDescent="0.25">
      <c r="A46" s="5">
        <v>34</v>
      </c>
      <c r="B46" s="5">
        <v>390180</v>
      </c>
      <c r="C46" s="6" t="s">
        <v>262</v>
      </c>
      <c r="D46" s="7">
        <v>15418</v>
      </c>
      <c r="E46" s="7">
        <v>95788</v>
      </c>
      <c r="F46" s="7">
        <v>11826</v>
      </c>
      <c r="G46" s="7"/>
      <c r="H46" s="567">
        <v>125914.98933783534</v>
      </c>
    </row>
    <row r="47" spans="1:8" s="15" customFormat="1" ht="15.75" x14ac:dyDescent="0.25">
      <c r="A47" s="5">
        <v>35</v>
      </c>
      <c r="B47" s="5">
        <v>390270</v>
      </c>
      <c r="C47" s="6" t="s">
        <v>44</v>
      </c>
      <c r="D47" s="7">
        <v>11530</v>
      </c>
      <c r="E47" s="7">
        <v>44948</v>
      </c>
      <c r="F47" s="7">
        <v>2530</v>
      </c>
      <c r="G47" s="7"/>
      <c r="H47" s="567">
        <v>87017.286990784953</v>
      </c>
    </row>
    <row r="48" spans="1:8" s="15" customFormat="1" ht="15.75" x14ac:dyDescent="0.25">
      <c r="A48" s="5">
        <v>36</v>
      </c>
      <c r="B48" s="5">
        <v>390190</v>
      </c>
      <c r="C48" s="6" t="s">
        <v>45</v>
      </c>
      <c r="D48" s="7">
        <v>20993</v>
      </c>
      <c r="E48" s="7">
        <v>105213</v>
      </c>
      <c r="F48" s="7">
        <v>10599</v>
      </c>
      <c r="G48" s="7"/>
      <c r="H48" s="567">
        <v>155552.91456569338</v>
      </c>
    </row>
    <row r="49" spans="1:8" s="15" customFormat="1" ht="15.75" x14ac:dyDescent="0.25">
      <c r="A49" s="5">
        <v>37</v>
      </c>
      <c r="B49" s="5">
        <v>390280</v>
      </c>
      <c r="C49" s="6" t="s">
        <v>47</v>
      </c>
      <c r="D49" s="7">
        <v>22689</v>
      </c>
      <c r="E49" s="7">
        <v>88603</v>
      </c>
      <c r="F49" s="7">
        <v>9937</v>
      </c>
      <c r="G49" s="7"/>
      <c r="H49" s="567">
        <v>181617.26369185591</v>
      </c>
    </row>
    <row r="50" spans="1:8" s="15" customFormat="1" ht="15.75" x14ac:dyDescent="0.25">
      <c r="A50" s="5">
        <v>38</v>
      </c>
      <c r="B50" s="5">
        <v>390600</v>
      </c>
      <c r="C50" s="6" t="s">
        <v>341</v>
      </c>
      <c r="D50" s="7">
        <v>1739</v>
      </c>
      <c r="E50" s="7">
        <v>60112</v>
      </c>
      <c r="F50" s="7">
        <v>0</v>
      </c>
      <c r="G50" s="7"/>
      <c r="H50" s="567">
        <v>27720.346762047597</v>
      </c>
    </row>
    <row r="51" spans="1:8" s="15" customFormat="1" ht="30" x14ac:dyDescent="0.25">
      <c r="A51" s="5">
        <v>39</v>
      </c>
      <c r="B51" s="5">
        <v>390340</v>
      </c>
      <c r="C51" s="6" t="s">
        <v>342</v>
      </c>
      <c r="D51" s="7">
        <v>5970</v>
      </c>
      <c r="E51" s="7">
        <v>86697</v>
      </c>
      <c r="F51" s="7">
        <v>4049</v>
      </c>
      <c r="G51" s="7"/>
      <c r="H51" s="567">
        <v>62673.982599082403</v>
      </c>
    </row>
    <row r="52" spans="1:8" s="15" customFormat="1" ht="30" x14ac:dyDescent="0.25">
      <c r="A52" s="5">
        <v>40</v>
      </c>
      <c r="B52" s="5">
        <v>391000</v>
      </c>
      <c r="C52" s="6" t="s">
        <v>343</v>
      </c>
      <c r="D52" s="7">
        <v>7132</v>
      </c>
      <c r="E52" s="7">
        <v>76963</v>
      </c>
      <c r="F52" s="7">
        <v>1111</v>
      </c>
      <c r="G52" s="7"/>
      <c r="H52" s="567">
        <v>120714.53115000001</v>
      </c>
    </row>
    <row r="53" spans="1:8" s="15" customFormat="1" ht="15.75" x14ac:dyDescent="0.25">
      <c r="A53" s="5">
        <v>41</v>
      </c>
      <c r="B53" s="5">
        <v>390910</v>
      </c>
      <c r="C53" s="6" t="s">
        <v>344</v>
      </c>
      <c r="D53" s="7">
        <v>3718</v>
      </c>
      <c r="E53" s="7">
        <v>92868</v>
      </c>
      <c r="F53" s="7">
        <v>4440</v>
      </c>
      <c r="G53" s="7"/>
      <c r="H53" s="567">
        <v>150531.63677000001</v>
      </c>
    </row>
    <row r="54" spans="1:8" s="569" customFormat="1" ht="30" x14ac:dyDescent="0.2">
      <c r="A54" s="5">
        <v>42</v>
      </c>
      <c r="B54" s="5">
        <v>391020</v>
      </c>
      <c r="C54" s="6" t="s">
        <v>345</v>
      </c>
      <c r="D54" s="7">
        <v>6194</v>
      </c>
      <c r="E54" s="7">
        <v>54204</v>
      </c>
      <c r="F54" s="7">
        <v>1060</v>
      </c>
      <c r="G54" s="7"/>
      <c r="H54" s="567">
        <v>100341.55928</v>
      </c>
    </row>
    <row r="55" spans="1:8" ht="15.75" x14ac:dyDescent="0.25">
      <c r="A55" s="5">
        <v>43</v>
      </c>
      <c r="B55" s="5">
        <v>391110</v>
      </c>
      <c r="C55" s="6" t="s">
        <v>143</v>
      </c>
      <c r="D55" s="7">
        <v>19</v>
      </c>
      <c r="E55" s="7">
        <v>27408</v>
      </c>
      <c r="F55" s="7">
        <v>987</v>
      </c>
      <c r="G55" s="7"/>
      <c r="H55" s="567">
        <v>41015.623319999999</v>
      </c>
    </row>
    <row r="56" spans="1:8" ht="15.75" x14ac:dyDescent="0.25">
      <c r="A56" s="5">
        <v>44</v>
      </c>
      <c r="B56" s="5">
        <v>390286</v>
      </c>
      <c r="C56" s="6" t="s">
        <v>142</v>
      </c>
      <c r="D56" s="7">
        <v>2662</v>
      </c>
      <c r="E56" s="7">
        <v>20997</v>
      </c>
      <c r="F56" s="7">
        <v>0</v>
      </c>
      <c r="G56" s="7"/>
      <c r="H56" s="567">
        <v>34147.779439999998</v>
      </c>
    </row>
    <row r="57" spans="1:8" ht="15.75" x14ac:dyDescent="0.25">
      <c r="A57" s="5">
        <v>45</v>
      </c>
      <c r="B57" s="5">
        <v>392240</v>
      </c>
      <c r="C57" s="6" t="s">
        <v>346</v>
      </c>
      <c r="D57" s="7">
        <v>137</v>
      </c>
      <c r="E57" s="7">
        <v>1179</v>
      </c>
      <c r="F57" s="7">
        <v>0</v>
      </c>
      <c r="G57" s="7"/>
      <c r="H57" s="567">
        <v>2322.0852</v>
      </c>
    </row>
    <row r="58" spans="1:8" s="569" customFormat="1" ht="15.75" x14ac:dyDescent="0.2">
      <c r="A58" s="5">
        <v>46</v>
      </c>
      <c r="B58" s="5">
        <v>391090</v>
      </c>
      <c r="C58" s="6" t="s">
        <v>140</v>
      </c>
      <c r="D58" s="7">
        <v>2794</v>
      </c>
      <c r="E58" s="7">
        <v>36492</v>
      </c>
      <c r="F58" s="7">
        <v>791</v>
      </c>
      <c r="G58" s="7"/>
      <c r="H58" s="567">
        <v>74764.099549999999</v>
      </c>
    </row>
    <row r="59" spans="1:8" s="569" customFormat="1" ht="15.75" x14ac:dyDescent="0.2">
      <c r="A59" s="5">
        <v>47</v>
      </c>
      <c r="B59" s="5">
        <v>391200</v>
      </c>
      <c r="C59" s="6" t="s">
        <v>139</v>
      </c>
      <c r="D59" s="7">
        <v>718</v>
      </c>
      <c r="E59" s="7">
        <v>7368</v>
      </c>
      <c r="F59" s="7">
        <v>0</v>
      </c>
      <c r="G59" s="7"/>
      <c r="H59" s="567">
        <v>13169.99598</v>
      </c>
    </row>
    <row r="60" spans="1:8" ht="15.75" x14ac:dyDescent="0.25">
      <c r="A60" s="5">
        <v>48</v>
      </c>
      <c r="B60" s="5">
        <v>391350</v>
      </c>
      <c r="C60" s="6" t="s">
        <v>138</v>
      </c>
      <c r="D60" s="7">
        <v>167</v>
      </c>
      <c r="E60" s="7">
        <v>4616</v>
      </c>
      <c r="F60" s="7">
        <v>0</v>
      </c>
      <c r="G60" s="7"/>
      <c r="H60" s="567">
        <v>10488.396289999999</v>
      </c>
    </row>
    <row r="61" spans="1:8" s="569" customFormat="1" ht="15.75" x14ac:dyDescent="0.2">
      <c r="A61" s="5">
        <v>49</v>
      </c>
      <c r="B61" s="5">
        <v>391640</v>
      </c>
      <c r="C61" s="6" t="s">
        <v>137</v>
      </c>
      <c r="D61" s="7">
        <v>208</v>
      </c>
      <c r="E61" s="7">
        <v>5972</v>
      </c>
      <c r="F61" s="7">
        <v>0</v>
      </c>
      <c r="G61" s="7"/>
      <c r="H61" s="567">
        <v>13513.260470000001</v>
      </c>
    </row>
    <row r="62" spans="1:8" ht="15.75" x14ac:dyDescent="0.25">
      <c r="A62" s="5">
        <v>50</v>
      </c>
      <c r="B62" s="5">
        <v>391720</v>
      </c>
      <c r="C62" s="6" t="s">
        <v>347</v>
      </c>
      <c r="D62" s="7">
        <v>87</v>
      </c>
      <c r="E62" s="7">
        <v>2494</v>
      </c>
      <c r="F62" s="7">
        <v>0</v>
      </c>
      <c r="G62" s="7"/>
      <c r="H62" s="567">
        <v>4956.6359599999996</v>
      </c>
    </row>
    <row r="63" spans="1:8" ht="15.75" x14ac:dyDescent="0.25">
      <c r="A63" s="5">
        <v>51</v>
      </c>
      <c r="B63" s="5">
        <v>392390</v>
      </c>
      <c r="C63" s="6" t="s">
        <v>348</v>
      </c>
      <c r="D63" s="7">
        <v>638</v>
      </c>
      <c r="E63" s="7">
        <v>9464</v>
      </c>
      <c r="F63" s="7">
        <v>101</v>
      </c>
      <c r="G63" s="7"/>
      <c r="H63" s="567">
        <v>18680.952619999996</v>
      </c>
    </row>
    <row r="64" spans="1:8" ht="15.75" x14ac:dyDescent="0.25">
      <c r="A64" s="5">
        <v>52</v>
      </c>
      <c r="B64" s="5">
        <v>392310</v>
      </c>
      <c r="C64" s="6" t="s">
        <v>134</v>
      </c>
      <c r="D64" s="7">
        <v>0</v>
      </c>
      <c r="E64" s="7">
        <v>2695</v>
      </c>
      <c r="F64" s="7">
        <v>0</v>
      </c>
      <c r="G64" s="7"/>
      <c r="H64" s="567">
        <v>5467.0470700000005</v>
      </c>
    </row>
    <row r="65" spans="1:8" ht="15.75" x14ac:dyDescent="0.25">
      <c r="A65" s="5">
        <v>53</v>
      </c>
      <c r="B65" s="5">
        <v>391330</v>
      </c>
      <c r="C65" s="6" t="s">
        <v>349</v>
      </c>
      <c r="D65" s="7">
        <v>173</v>
      </c>
      <c r="E65" s="7">
        <v>2224</v>
      </c>
      <c r="F65" s="7">
        <v>0</v>
      </c>
      <c r="G65" s="7"/>
      <c r="H65" s="567">
        <v>3452.3713200000002</v>
      </c>
    </row>
    <row r="66" spans="1:8" ht="15.75" x14ac:dyDescent="0.25">
      <c r="A66" s="5">
        <v>54</v>
      </c>
      <c r="B66" s="5">
        <v>392330</v>
      </c>
      <c r="C66" s="6" t="s">
        <v>350</v>
      </c>
      <c r="D66" s="7">
        <v>9</v>
      </c>
      <c r="E66" s="7">
        <v>1875</v>
      </c>
      <c r="F66" s="7">
        <v>0</v>
      </c>
      <c r="G66" s="7"/>
      <c r="H66" s="567">
        <v>3876.2817800000003</v>
      </c>
    </row>
    <row r="67" spans="1:8" ht="15.75" x14ac:dyDescent="0.25">
      <c r="A67" s="5">
        <v>55</v>
      </c>
      <c r="B67" s="5">
        <v>392350</v>
      </c>
      <c r="C67" s="6" t="s">
        <v>351</v>
      </c>
      <c r="D67" s="7">
        <v>75</v>
      </c>
      <c r="E67" s="7">
        <v>303</v>
      </c>
      <c r="F67" s="7">
        <v>0</v>
      </c>
      <c r="G67" s="7"/>
      <c r="H67" s="567">
        <v>950.53399999999999</v>
      </c>
    </row>
    <row r="68" spans="1:8" ht="15.75" x14ac:dyDescent="0.25">
      <c r="A68" s="5">
        <v>56</v>
      </c>
      <c r="B68" s="5">
        <v>392380</v>
      </c>
      <c r="C68" s="6" t="s">
        <v>130</v>
      </c>
      <c r="D68" s="7">
        <v>158</v>
      </c>
      <c r="E68" s="7">
        <v>1656</v>
      </c>
      <c r="F68" s="7">
        <v>0</v>
      </c>
      <c r="G68" s="7"/>
      <c r="H68" s="567">
        <v>3051.9697200000001</v>
      </c>
    </row>
    <row r="69" spans="1:8" ht="15.75" x14ac:dyDescent="0.25">
      <c r="A69" s="5">
        <v>57</v>
      </c>
      <c r="B69" s="5">
        <v>392610</v>
      </c>
      <c r="C69" s="6" t="s">
        <v>129</v>
      </c>
      <c r="D69" s="7">
        <v>62</v>
      </c>
      <c r="E69" s="7">
        <v>52</v>
      </c>
      <c r="F69" s="7">
        <v>0</v>
      </c>
      <c r="G69" s="7"/>
      <c r="H69" s="567">
        <v>376.31074999999998</v>
      </c>
    </row>
    <row r="70" spans="1:8" ht="15.75" x14ac:dyDescent="0.25">
      <c r="A70" s="5">
        <v>58</v>
      </c>
      <c r="B70" s="5">
        <v>392620</v>
      </c>
      <c r="C70" s="6" t="s">
        <v>128</v>
      </c>
      <c r="D70" s="7">
        <v>31</v>
      </c>
      <c r="E70" s="7">
        <v>260</v>
      </c>
      <c r="F70" s="7">
        <v>0</v>
      </c>
      <c r="G70" s="7"/>
      <c r="H70" s="567">
        <v>513.41640000000007</v>
      </c>
    </row>
    <row r="71" spans="1:8" ht="15.75" x14ac:dyDescent="0.25">
      <c r="A71" s="5">
        <v>59</v>
      </c>
      <c r="B71" s="5">
        <v>390009</v>
      </c>
      <c r="C71" s="6" t="s">
        <v>352</v>
      </c>
      <c r="D71" s="7">
        <v>0</v>
      </c>
      <c r="E71" s="7">
        <v>178</v>
      </c>
      <c r="F71" s="7">
        <v>0</v>
      </c>
      <c r="G71" s="7"/>
      <c r="H71" s="567">
        <v>375.86836</v>
      </c>
    </row>
    <row r="72" spans="1:8" ht="15.75" x14ac:dyDescent="0.25">
      <c r="A72" s="5">
        <v>60</v>
      </c>
      <c r="B72" s="5">
        <v>390011</v>
      </c>
      <c r="C72" s="6" t="s">
        <v>266</v>
      </c>
      <c r="D72" s="7">
        <v>0</v>
      </c>
      <c r="E72" s="7">
        <v>201</v>
      </c>
      <c r="F72" s="7">
        <v>0</v>
      </c>
      <c r="G72" s="7"/>
      <c r="H72" s="567">
        <v>373.91863000000001</v>
      </c>
    </row>
    <row r="73" spans="1:8" ht="30" x14ac:dyDescent="0.25">
      <c r="A73" s="5">
        <v>61</v>
      </c>
      <c r="B73" s="5">
        <v>390782</v>
      </c>
      <c r="C73" s="6" t="s">
        <v>193</v>
      </c>
      <c r="D73" s="7">
        <v>842</v>
      </c>
      <c r="E73" s="7">
        <v>0</v>
      </c>
      <c r="F73" s="7">
        <v>0</v>
      </c>
      <c r="G73" s="7"/>
      <c r="H73" s="567">
        <v>71400.021280000001</v>
      </c>
    </row>
    <row r="74" spans="1:8" ht="30" x14ac:dyDescent="0.25">
      <c r="A74" s="5">
        <v>62</v>
      </c>
      <c r="B74" s="5">
        <v>392080</v>
      </c>
      <c r="C74" s="6" t="s">
        <v>353</v>
      </c>
      <c r="D74" s="7">
        <v>487</v>
      </c>
      <c r="E74" s="7">
        <v>0</v>
      </c>
      <c r="F74" s="7">
        <v>0</v>
      </c>
      <c r="G74" s="7"/>
      <c r="H74" s="567">
        <v>48241.745949999997</v>
      </c>
    </row>
    <row r="75" spans="1:8" s="569" customFormat="1" ht="15.75" x14ac:dyDescent="0.2">
      <c r="A75" s="5">
        <v>63</v>
      </c>
      <c r="B75" s="5">
        <v>392160</v>
      </c>
      <c r="C75" s="6" t="s">
        <v>195</v>
      </c>
      <c r="D75" s="7">
        <v>2801</v>
      </c>
      <c r="E75" s="7">
        <v>0</v>
      </c>
      <c r="F75" s="7">
        <v>0</v>
      </c>
      <c r="G75" s="7"/>
      <c r="H75" s="567">
        <v>252727.51464999997</v>
      </c>
    </row>
    <row r="76" spans="1:8" s="569" customFormat="1" ht="15.75" x14ac:dyDescent="0.2">
      <c r="A76" s="5">
        <v>64</v>
      </c>
      <c r="B76" s="5">
        <v>392400</v>
      </c>
      <c r="C76" s="6" t="s">
        <v>51</v>
      </c>
      <c r="D76" s="7">
        <v>0</v>
      </c>
      <c r="E76" s="7">
        <v>0</v>
      </c>
      <c r="F76" s="7">
        <v>0</v>
      </c>
      <c r="G76" s="7"/>
      <c r="H76" s="567">
        <v>0</v>
      </c>
    </row>
    <row r="77" spans="1:8" s="569" customFormat="1" ht="15.75" x14ac:dyDescent="0.2">
      <c r="A77" s="5">
        <v>65</v>
      </c>
      <c r="B77" s="5">
        <v>391492</v>
      </c>
      <c r="C77" s="6" t="s">
        <v>354</v>
      </c>
      <c r="D77" s="7">
        <v>0</v>
      </c>
      <c r="E77" s="7">
        <v>0</v>
      </c>
      <c r="F77" s="7">
        <v>0</v>
      </c>
      <c r="G77" s="7"/>
      <c r="H77" s="567">
        <v>0</v>
      </c>
    </row>
    <row r="78" spans="1:8" s="569" customFormat="1" ht="15.75" x14ac:dyDescent="0.2">
      <c r="A78" s="5">
        <v>66</v>
      </c>
      <c r="B78" s="5">
        <v>392320</v>
      </c>
      <c r="C78" s="6" t="s">
        <v>355</v>
      </c>
      <c r="D78" s="7">
        <v>674</v>
      </c>
      <c r="E78" s="7">
        <v>0</v>
      </c>
      <c r="F78" s="7">
        <v>0</v>
      </c>
      <c r="G78" s="7"/>
      <c r="H78" s="567">
        <v>869.30498000000364</v>
      </c>
    </row>
    <row r="79" spans="1:8" s="569" customFormat="1" ht="15.75" x14ac:dyDescent="0.2">
      <c r="A79" s="5">
        <v>67</v>
      </c>
      <c r="B79" s="5">
        <v>391310</v>
      </c>
      <c r="C79" s="6" t="s">
        <v>356</v>
      </c>
      <c r="D79" s="7">
        <v>0</v>
      </c>
      <c r="E79" s="7">
        <v>1188</v>
      </c>
      <c r="F79" s="7">
        <v>0</v>
      </c>
      <c r="G79" s="7"/>
      <c r="H79" s="567">
        <v>392.5033200000023</v>
      </c>
    </row>
    <row r="80" spans="1:8" s="569" customFormat="1" ht="15.75" x14ac:dyDescent="0.2">
      <c r="A80" s="5">
        <v>68</v>
      </c>
      <c r="B80" s="5">
        <v>391930</v>
      </c>
      <c r="C80" s="6" t="s">
        <v>357</v>
      </c>
      <c r="D80" s="7">
        <v>0</v>
      </c>
      <c r="E80" s="7">
        <v>0</v>
      </c>
      <c r="F80" s="7">
        <v>0</v>
      </c>
      <c r="G80" s="7"/>
      <c r="H80" s="567">
        <v>2996.1579500000003</v>
      </c>
    </row>
    <row r="81" spans="1:8" s="569" customFormat="1" ht="15.75" x14ac:dyDescent="0.2">
      <c r="A81" s="5">
        <v>69</v>
      </c>
      <c r="B81" s="5">
        <v>392750</v>
      </c>
      <c r="C81" s="6" t="s">
        <v>358</v>
      </c>
      <c r="D81" s="7">
        <v>0</v>
      </c>
      <c r="E81" s="7">
        <v>0</v>
      </c>
      <c r="F81" s="7">
        <v>0</v>
      </c>
      <c r="G81" s="7"/>
      <c r="H81" s="567">
        <v>0</v>
      </c>
    </row>
    <row r="82" spans="1:8" s="569" customFormat="1" ht="15.75" x14ac:dyDescent="0.2">
      <c r="A82" s="5">
        <v>70</v>
      </c>
      <c r="B82" s="5">
        <v>392830</v>
      </c>
      <c r="C82" s="6" t="s">
        <v>200</v>
      </c>
      <c r="D82" s="7">
        <v>0</v>
      </c>
      <c r="E82" s="7">
        <v>0</v>
      </c>
      <c r="F82" s="7">
        <v>0</v>
      </c>
      <c r="G82" s="7"/>
      <c r="H82" s="567">
        <v>0</v>
      </c>
    </row>
    <row r="83" spans="1:8" s="569" customFormat="1" ht="15.75" x14ac:dyDescent="0.2">
      <c r="A83" s="5">
        <v>71</v>
      </c>
      <c r="B83" s="5">
        <v>391960</v>
      </c>
      <c r="C83" s="6" t="s">
        <v>66</v>
      </c>
      <c r="D83" s="7">
        <v>0</v>
      </c>
      <c r="E83" s="7">
        <v>0</v>
      </c>
      <c r="F83" s="7">
        <v>0</v>
      </c>
      <c r="G83" s="7"/>
      <c r="H83" s="567">
        <v>6855.4828399999997</v>
      </c>
    </row>
    <row r="84" spans="1:8" s="569" customFormat="1" ht="30" x14ac:dyDescent="0.2">
      <c r="A84" s="5">
        <v>72</v>
      </c>
      <c r="B84" s="5">
        <v>390007</v>
      </c>
      <c r="C84" s="6" t="s">
        <v>202</v>
      </c>
      <c r="D84" s="7">
        <v>23</v>
      </c>
      <c r="E84" s="7">
        <v>0</v>
      </c>
      <c r="F84" s="7">
        <v>0</v>
      </c>
      <c r="G84" s="7"/>
      <c r="H84" s="567">
        <v>29.896939999999997</v>
      </c>
    </row>
    <row r="85" spans="1:8" s="569" customFormat="1" ht="15.75" x14ac:dyDescent="0.2">
      <c r="A85" s="5">
        <v>73</v>
      </c>
      <c r="B85" s="5">
        <v>391370</v>
      </c>
      <c r="C85" s="6" t="s">
        <v>359</v>
      </c>
      <c r="D85" s="7">
        <v>0</v>
      </c>
      <c r="E85" s="7">
        <v>0</v>
      </c>
      <c r="F85" s="7">
        <v>0</v>
      </c>
      <c r="G85" s="7"/>
      <c r="H85" s="567">
        <v>2571.8504199999998</v>
      </c>
    </row>
    <row r="86" spans="1:8" s="569" customFormat="1" ht="15.75" x14ac:dyDescent="0.2">
      <c r="A86" s="5">
        <v>74</v>
      </c>
      <c r="B86" s="5">
        <v>392470</v>
      </c>
      <c r="C86" s="6" t="s">
        <v>67</v>
      </c>
      <c r="D86" s="7">
        <v>0</v>
      </c>
      <c r="E86" s="7">
        <v>0</v>
      </c>
      <c r="F86" s="7">
        <v>0</v>
      </c>
      <c r="G86" s="7"/>
      <c r="H86" s="567">
        <v>0</v>
      </c>
    </row>
    <row r="87" spans="1:8" s="569" customFormat="1" ht="15.75" x14ac:dyDescent="0.2">
      <c r="A87" s="5">
        <v>75</v>
      </c>
      <c r="B87" s="5">
        <v>391970</v>
      </c>
      <c r="C87" s="6" t="s">
        <v>68</v>
      </c>
      <c r="D87" s="7">
        <v>0</v>
      </c>
      <c r="E87" s="7">
        <v>0</v>
      </c>
      <c r="F87" s="7">
        <v>0</v>
      </c>
      <c r="G87" s="7"/>
      <c r="H87" s="567">
        <v>4487.9841299999998</v>
      </c>
    </row>
    <row r="88" spans="1:8" s="569" customFormat="1" ht="15.75" x14ac:dyDescent="0.2">
      <c r="A88" s="5">
        <v>76</v>
      </c>
      <c r="B88" s="5">
        <v>392720</v>
      </c>
      <c r="C88" s="6" t="s">
        <v>360</v>
      </c>
      <c r="D88" s="7">
        <v>0</v>
      </c>
      <c r="E88" s="7">
        <v>0</v>
      </c>
      <c r="F88" s="7">
        <v>0</v>
      </c>
      <c r="G88" s="7"/>
      <c r="H88" s="567">
        <v>188.04945000000001</v>
      </c>
    </row>
    <row r="89" spans="1:8" s="569" customFormat="1" ht="15.75" x14ac:dyDescent="0.2">
      <c r="A89" s="5">
        <v>77</v>
      </c>
      <c r="B89" s="5">
        <v>392050</v>
      </c>
      <c r="C89" s="6" t="s">
        <v>91</v>
      </c>
      <c r="D89" s="7">
        <v>0</v>
      </c>
      <c r="E89" s="7">
        <v>0</v>
      </c>
      <c r="F89" s="7">
        <v>0</v>
      </c>
      <c r="G89" s="7"/>
      <c r="H89" s="567">
        <v>0</v>
      </c>
    </row>
    <row r="90" spans="1:8" s="569" customFormat="1" ht="15.75" x14ac:dyDescent="0.2">
      <c r="A90" s="5">
        <v>78</v>
      </c>
      <c r="B90" s="5">
        <v>391840</v>
      </c>
      <c r="C90" s="6" t="s">
        <v>361</v>
      </c>
      <c r="D90" s="7">
        <v>0</v>
      </c>
      <c r="E90" s="7">
        <v>0</v>
      </c>
      <c r="F90" s="7">
        <v>0</v>
      </c>
      <c r="G90" s="7"/>
      <c r="H90" s="567">
        <v>0</v>
      </c>
    </row>
    <row r="91" spans="1:8" s="569" customFormat="1" ht="15.75" x14ac:dyDescent="0.2">
      <c r="A91" s="5">
        <v>79</v>
      </c>
      <c r="B91" s="5">
        <v>392580</v>
      </c>
      <c r="C91" s="6" t="s">
        <v>71</v>
      </c>
      <c r="D91" s="7">
        <v>0</v>
      </c>
      <c r="E91" s="7">
        <v>0</v>
      </c>
      <c r="F91" s="7">
        <v>0</v>
      </c>
      <c r="G91" s="7"/>
      <c r="H91" s="567">
        <v>0</v>
      </c>
    </row>
    <row r="92" spans="1:8" s="569" customFormat="1" ht="15.75" x14ac:dyDescent="0.2">
      <c r="A92" s="5">
        <v>80</v>
      </c>
      <c r="B92" s="5">
        <v>390001</v>
      </c>
      <c r="C92" s="6" t="s">
        <v>207</v>
      </c>
      <c r="D92" s="7">
        <v>0</v>
      </c>
      <c r="E92" s="7">
        <v>0</v>
      </c>
      <c r="F92" s="7">
        <v>0</v>
      </c>
      <c r="G92" s="7"/>
      <c r="H92" s="567">
        <v>3594.45228</v>
      </c>
    </row>
    <row r="93" spans="1:8" x14ac:dyDescent="0.25">
      <c r="C93" s="570"/>
      <c r="D93" s="83"/>
      <c r="E93" s="83"/>
      <c r="F93" s="83"/>
      <c r="G93" s="83"/>
      <c r="H93" s="83"/>
    </row>
    <row r="94" spans="1:8" x14ac:dyDescent="0.25">
      <c r="A94" s="571" t="s">
        <v>279</v>
      </c>
      <c r="B94" s="571"/>
      <c r="C94" s="571" t="s">
        <v>280</v>
      </c>
      <c r="E94" s="572" t="s">
        <v>281</v>
      </c>
      <c r="F94" s="571" t="s">
        <v>282</v>
      </c>
      <c r="G94" s="571"/>
    </row>
    <row r="95" spans="1:8" x14ac:dyDescent="0.25">
      <c r="A95" s="571" t="s">
        <v>285</v>
      </c>
      <c r="B95" s="571"/>
      <c r="C95" s="571" t="s">
        <v>286</v>
      </c>
      <c r="E95" s="573" t="s">
        <v>283</v>
      </c>
      <c r="F95" s="574" t="s">
        <v>284</v>
      </c>
      <c r="G95" s="574"/>
      <c r="H95" s="575"/>
    </row>
    <row r="96" spans="1:8" x14ac:dyDescent="0.25">
      <c r="A96" s="571" t="s">
        <v>289</v>
      </c>
      <c r="B96" s="571"/>
      <c r="C96" s="571" t="s">
        <v>290</v>
      </c>
      <c r="E96" s="572" t="s">
        <v>287</v>
      </c>
      <c r="F96" s="571" t="s">
        <v>288</v>
      </c>
      <c r="G96" s="571"/>
      <c r="H96" s="571"/>
    </row>
    <row r="97" spans="1:8" x14ac:dyDescent="0.25">
      <c r="A97" s="571" t="s">
        <v>293</v>
      </c>
      <c r="B97" s="571"/>
      <c r="C97" s="571" t="s">
        <v>294</v>
      </c>
      <c r="E97" s="572" t="s">
        <v>291</v>
      </c>
      <c r="F97" s="571" t="s">
        <v>292</v>
      </c>
      <c r="G97" s="571"/>
      <c r="H97" s="571"/>
    </row>
    <row r="98" spans="1:8" x14ac:dyDescent="0.25">
      <c r="A98" s="571" t="s">
        <v>296</v>
      </c>
      <c r="B98" s="571"/>
      <c r="C98" s="571" t="s">
        <v>297</v>
      </c>
      <c r="E98" s="572" t="s">
        <v>12</v>
      </c>
      <c r="F98" s="571" t="s">
        <v>295</v>
      </c>
      <c r="G98" s="571"/>
      <c r="H98" s="571"/>
    </row>
    <row r="99" spans="1:8" x14ac:dyDescent="0.25">
      <c r="A99" s="571" t="s">
        <v>300</v>
      </c>
      <c r="B99" s="571"/>
      <c r="C99" s="571" t="s">
        <v>301</v>
      </c>
      <c r="E99" s="572" t="s">
        <v>298</v>
      </c>
      <c r="F99" s="571" t="s">
        <v>299</v>
      </c>
      <c r="G99" s="571"/>
      <c r="H99" s="571"/>
    </row>
    <row r="100" spans="1:8" x14ac:dyDescent="0.25">
      <c r="A100" s="571" t="s">
        <v>304</v>
      </c>
      <c r="B100" s="571"/>
      <c r="C100" s="571" t="s">
        <v>305</v>
      </c>
      <c r="E100" s="572" t="s">
        <v>302</v>
      </c>
      <c r="F100" s="571" t="s">
        <v>303</v>
      </c>
      <c r="G100" s="571"/>
      <c r="H100" s="571"/>
    </row>
    <row r="101" spans="1:8" x14ac:dyDescent="0.25">
      <c r="A101" s="571" t="s">
        <v>308</v>
      </c>
      <c r="B101" s="571"/>
      <c r="C101" s="571" t="s">
        <v>309</v>
      </c>
      <c r="E101" s="572" t="s">
        <v>306</v>
      </c>
      <c r="F101" s="571" t="s">
        <v>307</v>
      </c>
      <c r="G101" s="571"/>
      <c r="H101" s="571"/>
    </row>
    <row r="102" spans="1:8" x14ac:dyDescent="0.25">
      <c r="A102" s="571" t="s">
        <v>312</v>
      </c>
      <c r="B102" s="571"/>
      <c r="C102" s="571" t="s">
        <v>313</v>
      </c>
      <c r="E102" s="572" t="s">
        <v>310</v>
      </c>
      <c r="F102" s="571" t="s">
        <v>311</v>
      </c>
      <c r="G102" s="571"/>
      <c r="H102" s="571"/>
    </row>
    <row r="103" spans="1:8" x14ac:dyDescent="0.25">
      <c r="A103" s="571" t="s">
        <v>316</v>
      </c>
      <c r="B103" s="571"/>
      <c r="C103" s="571" t="s">
        <v>317</v>
      </c>
      <c r="E103" s="572" t="s">
        <v>314</v>
      </c>
      <c r="F103" s="571" t="s">
        <v>315</v>
      </c>
      <c r="G103" s="571"/>
    </row>
    <row r="104" spans="1:8" x14ac:dyDescent="0.25">
      <c r="A104" s="571" t="s">
        <v>320</v>
      </c>
      <c r="B104" s="571"/>
      <c r="C104" s="571" t="s">
        <v>321</v>
      </c>
      <c r="E104" s="573" t="s">
        <v>318</v>
      </c>
      <c r="F104" s="574" t="s">
        <v>319</v>
      </c>
      <c r="G104" s="574"/>
    </row>
    <row r="105" spans="1:8" x14ac:dyDescent="0.25">
      <c r="A105" s="575" t="s">
        <v>324</v>
      </c>
      <c r="B105" s="16"/>
      <c r="C105" s="574" t="s">
        <v>325</v>
      </c>
      <c r="E105" s="573" t="s">
        <v>322</v>
      </c>
      <c r="F105" s="574" t="s">
        <v>323</v>
      </c>
      <c r="G105" s="574"/>
    </row>
    <row r="106" spans="1:8" x14ac:dyDescent="0.25">
      <c r="A106" s="16"/>
      <c r="B106" s="16"/>
      <c r="E106" s="573" t="s">
        <v>326</v>
      </c>
      <c r="F106" s="574" t="s">
        <v>327</v>
      </c>
      <c r="G106" s="574"/>
    </row>
  </sheetData>
  <autoFilter ref="A12:H106" xr:uid="{00000000-0009-0000-0000-000000000000}"/>
  <mergeCells count="5">
    <mergeCell ref="A8:H8"/>
    <mergeCell ref="A10:H10"/>
    <mergeCell ref="A11:A12"/>
    <mergeCell ref="B11:B12"/>
    <mergeCell ref="C11:C12"/>
  </mergeCells>
  <pageMargins left="0.78740157480314965" right="0.19685039370078741" top="0.78740157480314965" bottom="0.78740157480314965" header="0" footer="0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93371-FC3A-4DCC-BE29-DC43FF4CA990}">
  <sheetPr>
    <pageSetUpPr fitToPage="1"/>
  </sheetPr>
  <dimension ref="A1:AI84"/>
  <sheetViews>
    <sheetView zoomScale="91" zoomScaleNormal="91" workbookViewId="0">
      <pane xSplit="3" ySplit="7" topLeftCell="W56" activePane="bottomRight" state="frozen"/>
      <selection pane="topRight" activeCell="D1" sqref="D1"/>
      <selection pane="bottomLeft" activeCell="A8" sqref="A8"/>
      <selection pane="bottomRight" activeCell="W78" sqref="W78"/>
    </sheetView>
  </sheetViews>
  <sheetFormatPr defaultColWidth="9.140625" defaultRowHeight="21.75" customHeight="1" x14ac:dyDescent="0.25"/>
  <cols>
    <col min="1" max="1" width="8.140625" style="202" customWidth="1"/>
    <col min="2" max="2" width="8" style="202" customWidth="1"/>
    <col min="3" max="3" width="35.28515625" style="68" customWidth="1"/>
    <col min="4" max="4" width="10.140625" style="236" bestFit="1" customWidth="1"/>
    <col min="5" max="5" width="16.140625" style="392" customWidth="1"/>
    <col min="6" max="6" width="6.140625" style="68" customWidth="1"/>
    <col min="7" max="7" width="15.28515625" style="68" customWidth="1"/>
    <col min="8" max="8" width="11.28515625" style="68" customWidth="1"/>
    <col min="9" max="9" width="9" style="68" customWidth="1"/>
    <col min="10" max="10" width="11.28515625" style="68" customWidth="1"/>
    <col min="11" max="11" width="12.28515625" style="236" customWidth="1"/>
    <col min="12" max="12" width="14.28515625" style="392" customWidth="1"/>
    <col min="13" max="13" width="10.7109375" style="68" customWidth="1"/>
    <col min="14" max="14" width="11.28515625" style="68" customWidth="1"/>
    <col min="15" max="15" width="9" style="68" customWidth="1"/>
    <col min="16" max="16" width="10.7109375" style="68" customWidth="1"/>
    <col min="17" max="17" width="10.140625" style="68" customWidth="1"/>
    <col min="18" max="18" width="11.5703125" style="68" customWidth="1"/>
    <col min="19" max="19" width="10.140625" style="68" customWidth="1"/>
    <col min="20" max="20" width="11.28515625" style="68" customWidth="1"/>
    <col min="21" max="21" width="6.140625" style="393" customWidth="1"/>
    <col min="22" max="22" width="11.5703125" style="68" customWidth="1"/>
    <col min="23" max="23" width="11.7109375" style="68" customWidth="1"/>
    <col min="24" max="24" width="11.140625" style="394" customWidth="1"/>
    <col min="25" max="25" width="14.85546875" style="395" customWidth="1"/>
    <col min="26" max="26" width="13.28515625" style="68" customWidth="1"/>
    <col min="27" max="27" width="11.85546875" style="68" customWidth="1"/>
    <col min="28" max="30" width="9.140625" style="68" customWidth="1"/>
    <col min="31" max="31" width="14.5703125" style="68" customWidth="1"/>
    <col min="32" max="32" width="9.140625" style="68" customWidth="1"/>
    <col min="33" max="33" width="10" style="68" customWidth="1"/>
    <col min="34" max="16384" width="9.140625" style="68"/>
  </cols>
  <sheetData>
    <row r="1" spans="1:33" ht="17.25" customHeight="1" x14ac:dyDescent="0.25">
      <c r="A1" s="200"/>
      <c r="B1" s="200"/>
      <c r="C1" s="350"/>
      <c r="D1" s="350"/>
      <c r="E1" s="351"/>
      <c r="F1" s="118"/>
      <c r="G1" s="118"/>
      <c r="H1" s="118"/>
      <c r="I1" s="118"/>
      <c r="J1" s="118"/>
      <c r="K1" s="350"/>
      <c r="L1" s="351"/>
      <c r="M1" s="118"/>
      <c r="N1" s="118"/>
      <c r="O1" s="118"/>
      <c r="P1" s="118"/>
      <c r="Q1" s="118"/>
      <c r="R1" s="118"/>
      <c r="S1" s="118"/>
      <c r="T1" s="118"/>
      <c r="U1" s="352"/>
      <c r="V1" s="118"/>
      <c r="W1" s="118"/>
      <c r="X1" s="353"/>
      <c r="Y1" s="354" t="s">
        <v>225</v>
      </c>
    </row>
    <row r="2" spans="1:33" ht="17.25" customHeight="1" x14ac:dyDescent="0.25">
      <c r="A2" s="200"/>
      <c r="B2" s="200"/>
      <c r="C2" s="118"/>
      <c r="D2" s="350"/>
      <c r="E2" s="351"/>
      <c r="F2" s="118"/>
      <c r="G2" s="118"/>
      <c r="H2" s="118"/>
      <c r="I2" s="118"/>
      <c r="J2" s="118"/>
      <c r="K2" s="350"/>
      <c r="L2" s="351"/>
      <c r="M2" s="118"/>
      <c r="N2" s="118"/>
      <c r="O2" s="118"/>
      <c r="P2" s="118"/>
      <c r="Q2" s="118"/>
      <c r="R2" s="118"/>
      <c r="S2" s="118"/>
      <c r="T2" s="118"/>
      <c r="U2" s="352"/>
      <c r="V2" s="118"/>
      <c r="W2" s="118"/>
      <c r="X2" s="353"/>
      <c r="Y2" s="354" t="s">
        <v>226</v>
      </c>
    </row>
    <row r="3" spans="1:33" ht="17.25" customHeight="1" x14ac:dyDescent="0.25">
      <c r="A3" s="200"/>
      <c r="B3" s="200"/>
      <c r="C3" s="118"/>
      <c r="D3" s="350"/>
      <c r="E3" s="351"/>
      <c r="F3" s="118"/>
      <c r="G3" s="118"/>
      <c r="H3" s="118"/>
      <c r="I3" s="118"/>
      <c r="J3" s="118"/>
      <c r="K3" s="350"/>
      <c r="L3" s="351"/>
      <c r="M3" s="118"/>
      <c r="N3" s="118"/>
      <c r="O3" s="118"/>
      <c r="P3" s="118"/>
      <c r="Q3" s="118"/>
      <c r="R3" s="118"/>
      <c r="S3" s="118"/>
      <c r="T3" s="118"/>
      <c r="U3" s="352"/>
      <c r="V3" s="118"/>
      <c r="W3" s="118"/>
      <c r="X3" s="353"/>
      <c r="Y3" s="354" t="s">
        <v>227</v>
      </c>
    </row>
    <row r="4" spans="1:33" ht="23.25" customHeight="1" x14ac:dyDescent="0.25">
      <c r="A4" s="355" t="s">
        <v>183</v>
      </c>
      <c r="B4" s="204"/>
      <c r="C4" s="356"/>
      <c r="D4" s="356"/>
      <c r="E4" s="357"/>
      <c r="F4" s="356"/>
      <c r="G4" s="356"/>
      <c r="H4" s="204"/>
      <c r="I4" s="356"/>
      <c r="J4" s="356"/>
      <c r="K4" s="356"/>
      <c r="L4" s="357"/>
      <c r="M4" s="356"/>
      <c r="N4" s="356"/>
      <c r="O4" s="356"/>
      <c r="P4" s="356"/>
      <c r="Q4" s="356"/>
      <c r="R4" s="356"/>
      <c r="S4" s="356"/>
      <c r="T4" s="356"/>
      <c r="U4" s="358"/>
      <c r="V4" s="356"/>
      <c r="W4" s="356"/>
      <c r="X4" s="357"/>
      <c r="Y4" s="357"/>
    </row>
    <row r="5" spans="1:33" ht="21.75" customHeight="1" x14ac:dyDescent="0.25">
      <c r="A5" s="398"/>
      <c r="B5" s="399">
        <v>1</v>
      </c>
      <c r="C5" s="202">
        <v>2</v>
      </c>
      <c r="D5" s="202">
        <v>3</v>
      </c>
      <c r="E5" s="399">
        <v>4</v>
      </c>
      <c r="F5" s="202">
        <v>5</v>
      </c>
      <c r="G5" s="202">
        <v>6</v>
      </c>
      <c r="H5" s="399">
        <v>7</v>
      </c>
      <c r="I5" s="202">
        <v>8</v>
      </c>
      <c r="J5" s="202">
        <v>9</v>
      </c>
      <c r="K5" s="399">
        <v>10</v>
      </c>
      <c r="L5" s="202">
        <v>11</v>
      </c>
      <c r="M5" s="202">
        <v>12</v>
      </c>
      <c r="N5" s="399">
        <v>13</v>
      </c>
      <c r="O5" s="202">
        <v>14</v>
      </c>
      <c r="P5" s="202">
        <v>15</v>
      </c>
      <c r="Q5" s="399">
        <v>16</v>
      </c>
      <c r="R5" s="202">
        <v>17</v>
      </c>
      <c r="S5" s="202">
        <v>18</v>
      </c>
      <c r="T5" s="399">
        <v>19</v>
      </c>
      <c r="U5" s="202">
        <v>20</v>
      </c>
      <c r="V5" s="202">
        <v>21</v>
      </c>
      <c r="W5" s="399">
        <v>22</v>
      </c>
      <c r="X5" s="202">
        <v>23</v>
      </c>
      <c r="Y5" s="202">
        <v>24</v>
      </c>
      <c r="Z5" s="202">
        <v>25</v>
      </c>
      <c r="AA5" s="202">
        <v>26</v>
      </c>
      <c r="AB5" s="202">
        <v>27</v>
      </c>
      <c r="AC5" s="202">
        <v>28</v>
      </c>
      <c r="AD5" s="202">
        <v>29</v>
      </c>
      <c r="AE5" s="202">
        <v>30</v>
      </c>
      <c r="AF5" s="202">
        <v>31</v>
      </c>
      <c r="AG5" s="202">
        <v>32</v>
      </c>
    </row>
    <row r="6" spans="1:33" ht="48" customHeight="1" x14ac:dyDescent="0.25">
      <c r="A6" s="596" t="s">
        <v>4</v>
      </c>
      <c r="B6" s="597" t="s">
        <v>5</v>
      </c>
      <c r="C6" s="598" t="s">
        <v>6</v>
      </c>
      <c r="D6" s="592" t="s">
        <v>276</v>
      </c>
      <c r="E6" s="593"/>
      <c r="F6" s="591" t="s">
        <v>8</v>
      </c>
      <c r="G6" s="591"/>
      <c r="H6" s="359" t="s">
        <v>186</v>
      </c>
      <c r="I6" s="591" t="s">
        <v>187</v>
      </c>
      <c r="J6" s="591"/>
      <c r="K6" s="592" t="s">
        <v>9</v>
      </c>
      <c r="L6" s="593"/>
      <c r="M6" s="594" t="s">
        <v>275</v>
      </c>
      <c r="N6" s="595"/>
      <c r="O6" s="591" t="s">
        <v>167</v>
      </c>
      <c r="P6" s="591"/>
      <c r="Q6" s="594" t="s">
        <v>190</v>
      </c>
      <c r="R6" s="595"/>
      <c r="S6" s="594" t="s">
        <v>191</v>
      </c>
      <c r="T6" s="595"/>
      <c r="U6" s="602" t="s">
        <v>261</v>
      </c>
      <c r="V6" s="602"/>
      <c r="W6" s="592" t="s">
        <v>10</v>
      </c>
      <c r="X6" s="593"/>
      <c r="Y6" s="603" t="s">
        <v>11</v>
      </c>
      <c r="AB6" s="599" t="s">
        <v>235</v>
      </c>
      <c r="AC6" s="599"/>
      <c r="AD6" s="600" t="s">
        <v>236</v>
      </c>
      <c r="AE6" s="601"/>
      <c r="AF6" s="599" t="s">
        <v>234</v>
      </c>
      <c r="AG6" s="599"/>
    </row>
    <row r="7" spans="1:33" ht="34.5" customHeight="1" x14ac:dyDescent="0.25">
      <c r="A7" s="596"/>
      <c r="B7" s="597"/>
      <c r="C7" s="598"/>
      <c r="D7" s="343" t="s">
        <v>12</v>
      </c>
      <c r="E7" s="360" t="s">
        <v>13</v>
      </c>
      <c r="F7" s="343" t="s">
        <v>12</v>
      </c>
      <c r="G7" s="343" t="s">
        <v>13</v>
      </c>
      <c r="H7" s="98" t="s">
        <v>13</v>
      </c>
      <c r="I7" s="343" t="s">
        <v>12</v>
      </c>
      <c r="J7" s="343" t="s">
        <v>13</v>
      </c>
      <c r="K7" s="343" t="s">
        <v>12</v>
      </c>
      <c r="L7" s="343" t="s">
        <v>13</v>
      </c>
      <c r="M7" s="343" t="s">
        <v>12</v>
      </c>
      <c r="N7" s="343" t="s">
        <v>13</v>
      </c>
      <c r="O7" s="145" t="s">
        <v>12</v>
      </c>
      <c r="P7" s="145" t="s">
        <v>13</v>
      </c>
      <c r="Q7" s="343" t="s">
        <v>12</v>
      </c>
      <c r="R7" s="343" t="s">
        <v>13</v>
      </c>
      <c r="S7" s="343" t="s">
        <v>12</v>
      </c>
      <c r="T7" s="343" t="s">
        <v>13</v>
      </c>
      <c r="U7" s="145" t="s">
        <v>12</v>
      </c>
      <c r="V7" s="145" t="s">
        <v>13</v>
      </c>
      <c r="W7" s="343" t="s">
        <v>12</v>
      </c>
      <c r="X7" s="343" t="s">
        <v>13</v>
      </c>
      <c r="Y7" s="603"/>
      <c r="AB7" s="145" t="s">
        <v>12</v>
      </c>
      <c r="AC7" s="145" t="s">
        <v>13</v>
      </c>
      <c r="AD7" s="145" t="s">
        <v>12</v>
      </c>
      <c r="AE7" s="145" t="s">
        <v>13</v>
      </c>
      <c r="AF7" s="145" t="s">
        <v>12</v>
      </c>
      <c r="AG7" s="145" t="s">
        <v>13</v>
      </c>
    </row>
    <row r="8" spans="1:33" ht="15" customHeight="1" x14ac:dyDescent="0.25">
      <c r="A8" s="5">
        <v>1</v>
      </c>
      <c r="B8" s="5">
        <v>390930</v>
      </c>
      <c r="C8" s="6" t="s">
        <v>180</v>
      </c>
      <c r="D8" s="554">
        <v>0</v>
      </c>
      <c r="E8" s="503">
        <v>21813.638739988583</v>
      </c>
      <c r="F8" s="96"/>
      <c r="G8" s="97"/>
      <c r="H8" s="436">
        <v>0</v>
      </c>
      <c r="I8" s="555">
        <v>19024</v>
      </c>
      <c r="J8" s="436">
        <v>21813.638739988583</v>
      </c>
      <c r="K8" s="554">
        <v>19189</v>
      </c>
      <c r="L8" s="503">
        <v>15202.192499999999</v>
      </c>
      <c r="M8" s="96"/>
      <c r="N8" s="97"/>
      <c r="O8" s="96"/>
      <c r="P8" s="97"/>
      <c r="Q8" s="96"/>
      <c r="R8" s="97"/>
      <c r="S8" s="96"/>
      <c r="T8" s="97"/>
      <c r="U8" s="96"/>
      <c r="V8" s="97"/>
      <c r="W8" s="554">
        <v>0</v>
      </c>
      <c r="X8" s="504">
        <v>0</v>
      </c>
      <c r="Y8" s="411">
        <f>E8+L8+X8+V8</f>
        <v>37015.831239988584</v>
      </c>
      <c r="Z8" s="318">
        <f>VLOOKUP(B8,'АПП+Стомат.'!$B$4:$AQ$89,42,FALSE)/1000</f>
        <v>37015.831169999998</v>
      </c>
      <c r="AA8" s="401">
        <f t="shared" ref="AA8:AA39" si="0">Y8-Z8</f>
        <v>6.9988585892133415E-5</v>
      </c>
      <c r="AB8" s="96"/>
      <c r="AC8" s="97"/>
      <c r="AD8" s="96"/>
      <c r="AE8" s="97"/>
      <c r="AF8" s="96"/>
      <c r="AG8" s="97"/>
    </row>
    <row r="9" spans="1:33" ht="15" customHeight="1" x14ac:dyDescent="0.25">
      <c r="A9" s="5">
        <v>2</v>
      </c>
      <c r="B9" s="5">
        <v>390800</v>
      </c>
      <c r="C9" s="6" t="s">
        <v>89</v>
      </c>
      <c r="D9" s="554">
        <v>150</v>
      </c>
      <c r="E9" s="503">
        <v>39328.442469999427</v>
      </c>
      <c r="F9" s="98"/>
      <c r="G9" s="98"/>
      <c r="H9" s="436">
        <v>21449.5625</v>
      </c>
      <c r="I9" s="555">
        <v>10544</v>
      </c>
      <c r="J9" s="436">
        <v>17470.042969999431</v>
      </c>
      <c r="K9" s="554">
        <v>54672</v>
      </c>
      <c r="L9" s="503">
        <v>38265.073089999991</v>
      </c>
      <c r="M9" s="96"/>
      <c r="N9" s="97"/>
      <c r="O9" s="96"/>
      <c r="P9" s="97"/>
      <c r="Q9" s="96"/>
      <c r="R9" s="97"/>
      <c r="S9" s="96"/>
      <c r="T9" s="97"/>
      <c r="U9" s="96"/>
      <c r="V9" s="97"/>
      <c r="W9" s="554">
        <v>36050</v>
      </c>
      <c r="X9" s="504">
        <v>40609.093829999998</v>
      </c>
      <c r="Y9" s="411">
        <f t="shared" ref="Y9:Y39" si="1">E9+L9+X9+V9</f>
        <v>118202.60938999942</v>
      </c>
      <c r="Z9" s="318">
        <f>VLOOKUP(B9,'АПП+Стомат.'!$B$4:$AQ$89,42,FALSE)/1000</f>
        <v>118096.04057999999</v>
      </c>
      <c r="AA9" s="401">
        <f t="shared" si="0"/>
        <v>106.5688099994295</v>
      </c>
      <c r="AB9" s="96"/>
      <c r="AC9" s="97"/>
      <c r="AD9" s="96"/>
      <c r="AE9" s="97"/>
      <c r="AF9" s="96"/>
      <c r="AG9" s="97"/>
    </row>
    <row r="10" spans="1:33" ht="15" customHeight="1" x14ac:dyDescent="0.25">
      <c r="A10" s="5">
        <v>3</v>
      </c>
      <c r="B10" s="5">
        <v>391100</v>
      </c>
      <c r="C10" s="6" t="s">
        <v>103</v>
      </c>
      <c r="D10" s="554">
        <v>0</v>
      </c>
      <c r="E10" s="503">
        <v>18154.40115999891</v>
      </c>
      <c r="F10" s="98"/>
      <c r="G10" s="98"/>
      <c r="H10" s="436">
        <v>6417.9755999999998</v>
      </c>
      <c r="I10" s="555">
        <v>18131</v>
      </c>
      <c r="J10" s="436">
        <v>11736.425559998908</v>
      </c>
      <c r="K10" s="554">
        <v>5071</v>
      </c>
      <c r="L10" s="503">
        <v>3386.7687700000001</v>
      </c>
      <c r="M10" s="96"/>
      <c r="N10" s="97"/>
      <c r="O10" s="96"/>
      <c r="P10" s="97"/>
      <c r="Q10" s="96"/>
      <c r="R10" s="97"/>
      <c r="S10" s="96"/>
      <c r="T10" s="97"/>
      <c r="U10" s="96"/>
      <c r="V10" s="97"/>
      <c r="W10" s="554">
        <v>0</v>
      </c>
      <c r="X10" s="504">
        <v>0</v>
      </c>
      <c r="Y10" s="411">
        <f t="shared" si="1"/>
        <v>21541.169929998909</v>
      </c>
      <c r="Z10" s="318">
        <f>VLOOKUP(B10,'АПП+Стомат.'!$B$4:$AQ$89,42,FALSE)/1000</f>
        <v>21537.830619999993</v>
      </c>
      <c r="AA10" s="401">
        <f t="shared" si="0"/>
        <v>3.3393099989152688</v>
      </c>
      <c r="AB10" s="96"/>
      <c r="AC10" s="97"/>
      <c r="AD10" s="96"/>
      <c r="AE10" s="97"/>
      <c r="AF10" s="96"/>
      <c r="AG10" s="97"/>
    </row>
    <row r="11" spans="1:33" ht="15" customHeight="1" x14ac:dyDescent="0.25">
      <c r="A11" s="5">
        <v>4</v>
      </c>
      <c r="B11" s="5">
        <v>390470</v>
      </c>
      <c r="C11" s="6" t="s">
        <v>88</v>
      </c>
      <c r="D11" s="554">
        <v>4931</v>
      </c>
      <c r="E11" s="503">
        <v>247840.38809997286</v>
      </c>
      <c r="F11" s="98"/>
      <c r="G11" s="98"/>
      <c r="H11" s="436">
        <v>155009.74900000001</v>
      </c>
      <c r="I11" s="555">
        <v>129339</v>
      </c>
      <c r="J11" s="436">
        <v>84874.478679972861</v>
      </c>
      <c r="K11" s="554">
        <v>173923</v>
      </c>
      <c r="L11" s="503">
        <v>130774.48534999999</v>
      </c>
      <c r="M11" s="96"/>
      <c r="N11" s="97"/>
      <c r="O11" s="96"/>
      <c r="P11" s="97"/>
      <c r="Q11" s="96"/>
      <c r="R11" s="97"/>
      <c r="S11" s="96"/>
      <c r="T11" s="97"/>
      <c r="U11" s="96"/>
      <c r="V11" s="97"/>
      <c r="W11" s="554">
        <v>0</v>
      </c>
      <c r="X11" s="504">
        <v>0</v>
      </c>
      <c r="Y11" s="411">
        <f t="shared" si="1"/>
        <v>378614.87344997283</v>
      </c>
      <c r="Z11" s="318">
        <f>VLOOKUP(B11,'АПП+Стомат.'!$B$4:$AQ$89,42,FALSE)/1000</f>
        <v>378379.32790999999</v>
      </c>
      <c r="AA11" s="401">
        <f t="shared" si="0"/>
        <v>235.54553997283801</v>
      </c>
      <c r="AB11" s="96"/>
      <c r="AC11" s="97"/>
      <c r="AD11" s="96"/>
      <c r="AE11" s="97"/>
      <c r="AF11" s="96"/>
      <c r="AG11" s="97"/>
    </row>
    <row r="12" spans="1:33" ht="15" customHeight="1" x14ac:dyDescent="0.25">
      <c r="A12" s="5">
        <v>5</v>
      </c>
      <c r="B12" s="5">
        <v>390762</v>
      </c>
      <c r="C12" s="6" t="s">
        <v>278</v>
      </c>
      <c r="D12" s="554">
        <v>0</v>
      </c>
      <c r="E12" s="503">
        <v>-1.0004441719502211E-10</v>
      </c>
      <c r="F12" s="98"/>
      <c r="G12" s="98"/>
      <c r="H12" s="436">
        <v>0</v>
      </c>
      <c r="I12" s="98"/>
      <c r="J12" s="436">
        <v>0</v>
      </c>
      <c r="K12" s="554">
        <v>1223</v>
      </c>
      <c r="L12" s="503">
        <v>1536.03908</v>
      </c>
      <c r="M12" s="96"/>
      <c r="N12" s="97"/>
      <c r="O12" s="96"/>
      <c r="P12" s="97"/>
      <c r="Q12" s="96"/>
      <c r="R12" s="97"/>
      <c r="S12" s="96"/>
      <c r="T12" s="97"/>
      <c r="U12" s="511">
        <f>VLOOKUP($B12,'АПП+Стомат.'!$B$4:$AB$90,18,FALSE)</f>
        <v>881</v>
      </c>
      <c r="V12" s="512">
        <f>VLOOKUP($B12,'АПП+Стомат.'!$B$4:$AB$90,19,FALSE)/1000</f>
        <v>15122.676800000101</v>
      </c>
      <c r="W12" s="554">
        <v>0</v>
      </c>
      <c r="X12" s="504">
        <v>0</v>
      </c>
      <c r="Y12" s="411">
        <f t="shared" si="1"/>
        <v>16658.71588</v>
      </c>
      <c r="Z12" s="318">
        <f>VLOOKUP(B12,'АПП+Стомат.'!$B$4:$AQ$89,42,FALSE)/1000</f>
        <v>16712.434640000094</v>
      </c>
      <c r="AA12" s="401">
        <f t="shared" si="0"/>
        <v>-53.718760000094335</v>
      </c>
      <c r="AB12" s="96">
        <v>115</v>
      </c>
      <c r="AC12" s="97">
        <v>2404.1325000000002</v>
      </c>
      <c r="AD12" s="96">
        <v>63</v>
      </c>
      <c r="AE12" s="97">
        <v>1322.2728750000001</v>
      </c>
      <c r="AF12" s="96">
        <v>300</v>
      </c>
      <c r="AG12" s="97">
        <v>278.09257000000002</v>
      </c>
    </row>
    <row r="13" spans="1:33" ht="15" customHeight="1" x14ac:dyDescent="0.25">
      <c r="A13" s="5">
        <v>6</v>
      </c>
      <c r="B13" s="5">
        <v>390050</v>
      </c>
      <c r="C13" s="6" t="s">
        <v>98</v>
      </c>
      <c r="D13" s="554">
        <v>23284</v>
      </c>
      <c r="E13" s="503">
        <v>44209.831969998908</v>
      </c>
      <c r="F13" s="98"/>
      <c r="G13" s="98"/>
      <c r="H13" s="436">
        <v>1538.46</v>
      </c>
      <c r="I13" s="555">
        <v>18531</v>
      </c>
      <c r="J13" s="436">
        <v>10838.418529998906</v>
      </c>
      <c r="K13" s="554">
        <v>53975</v>
      </c>
      <c r="L13" s="503">
        <v>20070.68377</v>
      </c>
      <c r="M13" s="96"/>
      <c r="N13" s="97"/>
      <c r="O13" s="96"/>
      <c r="P13" s="97"/>
      <c r="Q13" s="96"/>
      <c r="R13" s="97"/>
      <c r="S13" s="96"/>
      <c r="T13" s="97"/>
      <c r="U13" s="96"/>
      <c r="V13" s="97"/>
      <c r="W13" s="554">
        <v>0</v>
      </c>
      <c r="X13" s="504">
        <v>0</v>
      </c>
      <c r="Y13" s="411">
        <f t="shared" si="1"/>
        <v>64280.515739998911</v>
      </c>
      <c r="Z13" s="318">
        <f>VLOOKUP(B13,'АПП+Стомат.'!$B$4:$AQ$89,42,FALSE)/1000</f>
        <v>64182.824779999959</v>
      </c>
      <c r="AA13" s="401">
        <f t="shared" si="0"/>
        <v>97.690959998952167</v>
      </c>
      <c r="AB13" s="96"/>
      <c r="AC13" s="97"/>
      <c r="AD13" s="96"/>
      <c r="AE13" s="97"/>
      <c r="AF13" s="96"/>
      <c r="AG13" s="97"/>
    </row>
    <row r="14" spans="1:33" ht="15" customHeight="1" x14ac:dyDescent="0.25">
      <c r="A14" s="5">
        <v>7</v>
      </c>
      <c r="B14" s="5">
        <v>390070</v>
      </c>
      <c r="C14" s="6" t="s">
        <v>87</v>
      </c>
      <c r="D14" s="554">
        <v>0</v>
      </c>
      <c r="E14" s="503">
        <v>36961.787680000001</v>
      </c>
      <c r="F14" s="98"/>
      <c r="G14" s="98"/>
      <c r="H14" s="436">
        <v>36950.520499999999</v>
      </c>
      <c r="I14" s="555">
        <v>15</v>
      </c>
      <c r="J14" s="436">
        <v>11.267180000000002</v>
      </c>
      <c r="K14" s="554">
        <v>0</v>
      </c>
      <c r="L14" s="503">
        <v>60542.98848</v>
      </c>
      <c r="M14" s="96"/>
      <c r="N14" s="97"/>
      <c r="O14" s="96"/>
      <c r="P14" s="97"/>
      <c r="Q14" s="96"/>
      <c r="R14" s="97"/>
      <c r="S14" s="96"/>
      <c r="T14" s="97"/>
      <c r="U14" s="96"/>
      <c r="V14" s="97"/>
      <c r="W14" s="554">
        <v>53502</v>
      </c>
      <c r="X14" s="504">
        <v>60542.98848</v>
      </c>
      <c r="Y14" s="411">
        <f t="shared" si="1"/>
        <v>158047.76464000001</v>
      </c>
      <c r="Z14" s="318">
        <f>VLOOKUP(B14,'АПП+Стомат.'!$B$4:$AQ$89,42,FALSE)/1000</f>
        <v>97366.674460000097</v>
      </c>
      <c r="AA14" s="401">
        <f t="shared" si="0"/>
        <v>60681.090179999912</v>
      </c>
      <c r="AB14" s="96"/>
      <c r="AC14" s="97"/>
      <c r="AD14" s="96"/>
      <c r="AE14" s="97"/>
      <c r="AF14" s="96"/>
      <c r="AG14" s="97"/>
    </row>
    <row r="15" spans="1:33" ht="15" customHeight="1" x14ac:dyDescent="0.25">
      <c r="A15" s="5">
        <v>8</v>
      </c>
      <c r="B15" s="5">
        <v>390520</v>
      </c>
      <c r="C15" s="6" t="s">
        <v>264</v>
      </c>
      <c r="D15" s="554">
        <v>0</v>
      </c>
      <c r="E15" s="503">
        <v>0</v>
      </c>
      <c r="F15" s="98"/>
      <c r="G15" s="98"/>
      <c r="H15" s="436">
        <v>0</v>
      </c>
      <c r="I15" s="98"/>
      <c r="J15" s="436">
        <v>0</v>
      </c>
      <c r="K15" s="554">
        <v>0</v>
      </c>
      <c r="L15" s="503">
        <v>33871.375200000002</v>
      </c>
      <c r="M15" s="96"/>
      <c r="N15" s="97"/>
      <c r="O15" s="96"/>
      <c r="P15" s="97"/>
      <c r="Q15" s="96"/>
      <c r="R15" s="97"/>
      <c r="S15" s="96"/>
      <c r="T15" s="97"/>
      <c r="U15" s="96"/>
      <c r="V15" s="97"/>
      <c r="W15" s="554">
        <v>50494</v>
      </c>
      <c r="X15" s="504">
        <v>33871.375200000002</v>
      </c>
      <c r="Y15" s="411">
        <f t="shared" si="1"/>
        <v>67742.750400000004</v>
      </c>
      <c r="Z15" s="318">
        <f>VLOOKUP(B15,'АПП+Стомат.'!$B$4:$AQ$89,42,FALSE)/1000</f>
        <v>33837.164400000212</v>
      </c>
      <c r="AA15" s="401">
        <f t="shared" si="0"/>
        <v>33905.585999999792</v>
      </c>
      <c r="AB15" s="96"/>
      <c r="AC15" s="97"/>
      <c r="AD15" s="101"/>
      <c r="AE15" s="217"/>
      <c r="AF15" s="96"/>
      <c r="AG15" s="97"/>
    </row>
    <row r="16" spans="1:33" ht="15" customHeight="1" x14ac:dyDescent="0.25">
      <c r="A16" s="5">
        <v>9</v>
      </c>
      <c r="B16" s="5">
        <v>390130</v>
      </c>
      <c r="C16" s="6" t="s">
        <v>113</v>
      </c>
      <c r="D16" s="554">
        <v>1257</v>
      </c>
      <c r="E16" s="503">
        <v>2512.9189799999999</v>
      </c>
      <c r="F16" s="98"/>
      <c r="G16" s="98"/>
      <c r="H16" s="436">
        <v>0</v>
      </c>
      <c r="I16" s="98"/>
      <c r="J16" s="436">
        <v>0</v>
      </c>
      <c r="K16" s="554">
        <v>63494</v>
      </c>
      <c r="L16" s="503">
        <v>29650.122119999996</v>
      </c>
      <c r="M16" s="96"/>
      <c r="N16" s="97"/>
      <c r="O16" s="96"/>
      <c r="P16" s="97"/>
      <c r="Q16" s="96"/>
      <c r="R16" s="97"/>
      <c r="S16" s="96"/>
      <c r="T16" s="97"/>
      <c r="U16" s="96"/>
      <c r="V16" s="97"/>
      <c r="W16" s="554">
        <v>0</v>
      </c>
      <c r="X16" s="504">
        <v>0</v>
      </c>
      <c r="Y16" s="411">
        <f t="shared" si="1"/>
        <v>32163.041099999995</v>
      </c>
      <c r="Z16" s="318">
        <f>VLOOKUP(B16,'АПП+Стомат.'!$B$4:$AQ$89,42,FALSE)/1000</f>
        <v>32036.690219999993</v>
      </c>
      <c r="AA16" s="401">
        <f t="shared" si="0"/>
        <v>126.35088000000178</v>
      </c>
      <c r="AB16" s="96"/>
      <c r="AC16" s="97"/>
      <c r="AD16" s="96"/>
      <c r="AE16" s="97"/>
      <c r="AF16" s="96"/>
      <c r="AG16" s="97"/>
    </row>
    <row r="17" spans="1:35" ht="15" customHeight="1" x14ac:dyDescent="0.25">
      <c r="A17" s="5">
        <v>10</v>
      </c>
      <c r="B17" s="5">
        <v>390680</v>
      </c>
      <c r="C17" s="6" t="s">
        <v>114</v>
      </c>
      <c r="D17" s="554">
        <v>6680</v>
      </c>
      <c r="E17" s="503">
        <v>13354.2552</v>
      </c>
      <c r="F17" s="98"/>
      <c r="G17" s="98"/>
      <c r="H17" s="436">
        <v>0</v>
      </c>
      <c r="I17" s="98"/>
      <c r="J17" s="436">
        <v>0</v>
      </c>
      <c r="K17" s="554">
        <v>67176</v>
      </c>
      <c r="L17" s="503">
        <v>32803.949079999999</v>
      </c>
      <c r="M17" s="96"/>
      <c r="N17" s="97"/>
      <c r="O17" s="96"/>
      <c r="P17" s="97"/>
      <c r="Q17" s="96"/>
      <c r="R17" s="97"/>
      <c r="S17" s="96"/>
      <c r="T17" s="97"/>
      <c r="U17" s="96"/>
      <c r="V17" s="97"/>
      <c r="W17" s="554">
        <v>0</v>
      </c>
      <c r="X17" s="504">
        <v>0</v>
      </c>
      <c r="Y17" s="411">
        <f t="shared" si="1"/>
        <v>46158.204279999998</v>
      </c>
      <c r="Z17" s="318">
        <f>VLOOKUP(B17,'АПП+Стомат.'!$B$4:$AQ$89,42,FALSE)/1000</f>
        <v>45988.767840000037</v>
      </c>
      <c r="AA17" s="401">
        <f t="shared" si="0"/>
        <v>169.43643999996129</v>
      </c>
      <c r="AB17" s="96"/>
      <c r="AC17" s="97"/>
      <c r="AD17" s="96"/>
      <c r="AE17" s="97"/>
      <c r="AF17" s="96"/>
      <c r="AG17" s="97"/>
    </row>
    <row r="18" spans="1:35" ht="15" customHeight="1" x14ac:dyDescent="0.25">
      <c r="A18" s="5">
        <v>11</v>
      </c>
      <c r="B18" s="5">
        <v>390700</v>
      </c>
      <c r="C18" s="6" t="s">
        <v>115</v>
      </c>
      <c r="D18" s="554">
        <v>322</v>
      </c>
      <c r="E18" s="503">
        <v>373.98149000000001</v>
      </c>
      <c r="F18" s="98"/>
      <c r="G18" s="98"/>
      <c r="H18" s="436">
        <v>0</v>
      </c>
      <c r="I18" s="98"/>
      <c r="J18" s="436">
        <v>0</v>
      </c>
      <c r="K18" s="554">
        <v>1678</v>
      </c>
      <c r="L18" s="503">
        <v>783.83126000000004</v>
      </c>
      <c r="M18" s="96"/>
      <c r="N18" s="97"/>
      <c r="O18" s="96"/>
      <c r="P18" s="97"/>
      <c r="Q18" s="96"/>
      <c r="R18" s="97"/>
      <c r="S18" s="96"/>
      <c r="T18" s="97"/>
      <c r="U18" s="96"/>
      <c r="V18" s="97"/>
      <c r="W18" s="554">
        <v>0</v>
      </c>
      <c r="X18" s="504">
        <v>0</v>
      </c>
      <c r="Y18" s="411">
        <f t="shared" si="1"/>
        <v>1157.8127500000001</v>
      </c>
      <c r="Z18" s="318">
        <f>VLOOKUP(B18,'АПП+Стомат.'!$B$4:$AQ$89,42,FALSE)/1000</f>
        <v>1157.8127499999991</v>
      </c>
      <c r="AA18" s="401">
        <f t="shared" si="0"/>
        <v>0</v>
      </c>
      <c r="AB18" s="96"/>
      <c r="AC18" s="97"/>
      <c r="AD18" s="96"/>
      <c r="AE18" s="97"/>
      <c r="AF18" s="96"/>
      <c r="AG18" s="97"/>
    </row>
    <row r="19" spans="1:35" ht="15" customHeight="1" x14ac:dyDescent="0.25">
      <c r="A19" s="5">
        <v>12</v>
      </c>
      <c r="B19" s="5">
        <v>391610</v>
      </c>
      <c r="C19" s="6" t="s">
        <v>104</v>
      </c>
      <c r="D19" s="554">
        <v>0</v>
      </c>
      <c r="E19" s="503">
        <v>32887.846900000106</v>
      </c>
      <c r="F19" s="98"/>
      <c r="G19" s="98"/>
      <c r="H19" s="436">
        <v>30396.498299999999</v>
      </c>
      <c r="I19" s="555">
        <v>2643</v>
      </c>
      <c r="J19" s="436">
        <v>2491.3486000001094</v>
      </c>
      <c r="K19" s="554">
        <v>20763</v>
      </c>
      <c r="L19" s="503">
        <v>13658.147939999999</v>
      </c>
      <c r="M19" s="96"/>
      <c r="N19" s="97"/>
      <c r="O19" s="96"/>
      <c r="P19" s="97"/>
      <c r="Q19" s="96"/>
      <c r="R19" s="97"/>
      <c r="S19" s="96"/>
      <c r="T19" s="97"/>
      <c r="U19" s="96"/>
      <c r="V19" s="97"/>
      <c r="W19" s="554">
        <v>0</v>
      </c>
      <c r="X19" s="504">
        <v>0</v>
      </c>
      <c r="Y19" s="411">
        <f t="shared" si="1"/>
        <v>46545.994840000101</v>
      </c>
      <c r="Z19" s="318">
        <f>VLOOKUP(B19,'АПП+Стомат.'!$B$4:$AQ$89,42,FALSE)/1000</f>
        <v>46535.28131000002</v>
      </c>
      <c r="AA19" s="401">
        <f t="shared" si="0"/>
        <v>10.713530000080937</v>
      </c>
      <c r="AB19" s="96"/>
      <c r="AC19" s="97"/>
      <c r="AD19" s="101"/>
      <c r="AE19" s="217"/>
      <c r="AF19" s="96"/>
      <c r="AG19" s="97"/>
    </row>
    <row r="20" spans="1:35" ht="15" customHeight="1" x14ac:dyDescent="0.25">
      <c r="A20" s="5">
        <v>13</v>
      </c>
      <c r="B20" s="5">
        <v>390440</v>
      </c>
      <c r="C20" s="238" t="s">
        <v>95</v>
      </c>
      <c r="D20" s="554">
        <v>34964</v>
      </c>
      <c r="E20" s="556">
        <f>ROUND((VLOOKUP($B20,'АПП+Стомат.'!$B$16:$AB$45,6,FALSE)/1000),5)+G20+H20+J20-V20</f>
        <v>159995.11165000001</v>
      </c>
      <c r="F20" s="98"/>
      <c r="G20" s="98"/>
      <c r="H20" s="436">
        <v>33172.978000000003</v>
      </c>
      <c r="I20" s="555">
        <v>2350</v>
      </c>
      <c r="J20" s="436">
        <v>1095.0863099999813</v>
      </c>
      <c r="K20" s="560">
        <v>253385</v>
      </c>
      <c r="L20" s="559">
        <f>ROUND((VLOOKUP($B20,'АПП+Стомат.'!$B$16:$AB$45,8,FALSE)/1000),5)+N20+P20+R20+T20</f>
        <v>185135.45823000002</v>
      </c>
      <c r="M20" s="511">
        <f>VLOOKUP($B20,'АПП+Стомат.'!$B$16:$AB$45,20,FALSE)</f>
        <v>30308</v>
      </c>
      <c r="N20" s="512">
        <f>ROUND((VLOOKUP($B20,'АПП+Стомат.'!$B$16:$AB$45,21,FALSE)/1000),5)</f>
        <v>90629.64572</v>
      </c>
      <c r="O20" s="511">
        <f>VLOOKUP($B20,'АПП+Стомат.'!$B$16:$AB$45,24,FALSE)</f>
        <v>9158</v>
      </c>
      <c r="P20" s="512">
        <f>ROUND((VLOOKUP($B20,'АПП+Стомат.'!$B$16:$AB$45,25,FALSE)/1000),5)</f>
        <v>11704.81093</v>
      </c>
      <c r="Q20" s="511">
        <f>VLOOKUP($B20,'АПП+Стомат.'!$B$16:$AB$45,26,FALSE)</f>
        <v>8377</v>
      </c>
      <c r="R20" s="512">
        <f>ROUND((VLOOKUP($B20,'АПП+Стомат.'!$B$16:$AB$45,27,FALSE)/1000),5)</f>
        <v>12379.69807</v>
      </c>
      <c r="S20" s="511">
        <f>VLOOKUP($B20,'АПП+Стомат.'!$B$16:$AB$45,22,FALSE)</f>
        <v>33870</v>
      </c>
      <c r="T20" s="512">
        <f>ROUND((VLOOKUP($B20,'АПП+Стомат.'!$B$16:$AB$45,23,FALSE)/1000),5)</f>
        <v>44179.424760000002</v>
      </c>
      <c r="U20" s="511">
        <f>VLOOKUP($B20,'АПП+Стомат.'!$B$4:$AB$90,18,FALSE)</f>
        <v>159</v>
      </c>
      <c r="V20" s="512">
        <f>VLOOKUP($B20,'АПП+Стомат.'!$B$4:$AB$90,19,FALSE)/1000</f>
        <v>1991.1436399999975</v>
      </c>
      <c r="W20" s="554">
        <v>27816</v>
      </c>
      <c r="X20" s="559">
        <f>ROUND((VLOOKUP($B20,'АПП+Стомат.'!$B$16:$AB$45,10,FALSE)/1000),5)</f>
        <v>26029.710510000001</v>
      </c>
      <c r="Y20" s="513">
        <f>E20+L20+X20+V20</f>
        <v>373151.42403000005</v>
      </c>
      <c r="Z20" s="318">
        <f>VLOOKUP(B20,'АПП+Стомат.'!$B$4:$AQ$89,42,FALSE)/1000</f>
        <v>354844.22973306564</v>
      </c>
      <c r="AA20" s="401">
        <f t="shared" si="0"/>
        <v>18307.194296934409</v>
      </c>
      <c r="AB20" s="96"/>
      <c r="AC20" s="97"/>
      <c r="AD20" s="96"/>
      <c r="AE20" s="97"/>
      <c r="AF20" s="96">
        <v>300</v>
      </c>
      <c r="AG20" s="97">
        <v>278.09257000000002</v>
      </c>
      <c r="AI20" s="393">
        <f>K20-M20-O20-Q20-S20</f>
        <v>171672</v>
      </c>
    </row>
    <row r="21" spans="1:35" ht="15" customHeight="1" x14ac:dyDescent="0.25">
      <c r="A21" s="5">
        <v>14</v>
      </c>
      <c r="B21" s="5">
        <v>390100</v>
      </c>
      <c r="C21" s="238" t="s">
        <v>93</v>
      </c>
      <c r="D21" s="554">
        <v>16807</v>
      </c>
      <c r="E21" s="556">
        <f>ROUND((VLOOKUP($B21,'АПП+Стомат.'!$B$16:$AB$45,6,FALSE)/1000),5)+G21+H21+J21-V21</f>
        <v>91702.970790000007</v>
      </c>
      <c r="F21" s="98"/>
      <c r="G21" s="98"/>
      <c r="H21" s="436">
        <v>5043.63879</v>
      </c>
      <c r="I21" s="555">
        <v>11</v>
      </c>
      <c r="J21" s="436">
        <v>9.6323699999999981</v>
      </c>
      <c r="K21" s="560">
        <v>239513</v>
      </c>
      <c r="L21" s="559">
        <f>ROUND((VLOOKUP($B21,'АПП+Стомат.'!$B$16:$AB$45,8,FALSE)/1000),5)+N21+P21+R21+T21</f>
        <v>127780.44256999998</v>
      </c>
      <c r="M21" s="511">
        <f>VLOOKUP($B21,'АПП+Стомат.'!$B$16:$AB$45,20,FALSE)</f>
        <v>22442</v>
      </c>
      <c r="N21" s="512">
        <f>ROUND((VLOOKUP($B21,'АПП+Стомат.'!$B$16:$AB$45,21,FALSE)/1000),5)</f>
        <v>67369.767619999999</v>
      </c>
      <c r="O21" s="511">
        <f>VLOOKUP($B21,'АПП+Стомат.'!$B$16:$AB$45,24,FALSE)</f>
        <v>7055</v>
      </c>
      <c r="P21" s="512">
        <f>ROUND((VLOOKUP($B21,'АПП+Стомат.'!$B$16:$AB$45,25,FALSE)/1000),5)</f>
        <v>8735.8758899999993</v>
      </c>
      <c r="Q21" s="511">
        <f>VLOOKUP($B21,'АПП+Стомат.'!$B$16:$AB$45,26,FALSE)</f>
        <v>6241</v>
      </c>
      <c r="R21" s="512">
        <f>ROUND((VLOOKUP($B21,'АПП+Стомат.'!$B$16:$AB$45,27,FALSE)/1000),5)</f>
        <v>8687.3375899999992</v>
      </c>
      <c r="S21" s="511">
        <f>VLOOKUP($B21,'АПП+Стомат.'!$B$16:$AB$45,22,FALSE)</f>
        <v>27576</v>
      </c>
      <c r="T21" s="512">
        <f>ROUND((VLOOKUP($B21,'АПП+Стомат.'!$B$16:$AB$45,23,FALSE)/1000),5)</f>
        <v>36557.976340000001</v>
      </c>
      <c r="U21" s="96"/>
      <c r="V21" s="97"/>
      <c r="W21" s="554">
        <v>27222</v>
      </c>
      <c r="X21" s="559">
        <f>ROUND((VLOOKUP($B21,'АПП+Стомат.'!$B$16:$AB$45,10,FALSE)/1000),5)</f>
        <v>21198.629000000001</v>
      </c>
      <c r="Y21" s="513">
        <f t="shared" si="1"/>
        <v>240682.04236000002</v>
      </c>
      <c r="Z21" s="318">
        <f>VLOOKUP(B21,'АПП+Стомат.'!$B$4:$AQ$89,42,FALSE)/1000</f>
        <v>235628.77120113856</v>
      </c>
      <c r="AA21" s="401">
        <f t="shared" si="0"/>
        <v>5053.271158861462</v>
      </c>
      <c r="AB21" s="96"/>
      <c r="AC21" s="97"/>
      <c r="AD21" s="96"/>
      <c r="AE21" s="97"/>
      <c r="AF21" s="96">
        <v>300</v>
      </c>
      <c r="AG21" s="97">
        <v>278.09257000000002</v>
      </c>
      <c r="AI21" s="393">
        <f t="shared" ref="AI21:AI46" si="2">K21-M21-O21-Q21-S21</f>
        <v>176199</v>
      </c>
    </row>
    <row r="22" spans="1:35" ht="15" customHeight="1" x14ac:dyDescent="0.25">
      <c r="A22" s="5">
        <v>15</v>
      </c>
      <c r="B22" s="5">
        <v>390090</v>
      </c>
      <c r="C22" s="238" t="s">
        <v>92</v>
      </c>
      <c r="D22" s="554">
        <v>31136</v>
      </c>
      <c r="E22" s="556">
        <f>ROUND((VLOOKUP($B22,'АПП+Стомат.'!$B$16:$AB$45,6,FALSE)/1000),5)+G22+H22+J22-V22</f>
        <v>95617.100909999994</v>
      </c>
      <c r="F22" s="98"/>
      <c r="G22" s="98"/>
      <c r="H22" s="436">
        <v>0</v>
      </c>
      <c r="I22" s="98"/>
      <c r="J22" s="436">
        <v>0</v>
      </c>
      <c r="K22" s="560">
        <v>145948</v>
      </c>
      <c r="L22" s="559">
        <f>ROUND((VLOOKUP($B22,'АПП+Стомат.'!$B$16:$AB$45,8,FALSE)/1000),5)+N22+P22+R22+T22</f>
        <v>121886.45056000001</v>
      </c>
      <c r="M22" s="511">
        <f>VLOOKUP($B22,'АПП+Стомат.'!$B$16:$AB$45,20,FALSE)</f>
        <v>21983</v>
      </c>
      <c r="N22" s="512">
        <f>ROUND((VLOOKUP($B22,'АПП+Стомат.'!$B$16:$AB$45,21,FALSE)/1000),5)</f>
        <v>65069.122730000003</v>
      </c>
      <c r="O22" s="511">
        <f>VLOOKUP($B22,'АПП+Стомат.'!$B$16:$AB$45,24,FALSE)</f>
        <v>7484</v>
      </c>
      <c r="P22" s="512">
        <f>ROUND((VLOOKUP($B22,'АПП+Стомат.'!$B$16:$AB$45,25,FALSE)/1000),5)</f>
        <v>10463.750669999999</v>
      </c>
      <c r="Q22" s="511">
        <f>VLOOKUP($B22,'АПП+Стомат.'!$B$16:$AB$45,26,FALSE)</f>
        <v>5582</v>
      </c>
      <c r="R22" s="512">
        <f>ROUND((VLOOKUP($B22,'АПП+Стомат.'!$B$16:$AB$45,27,FALSE)/1000),5)</f>
        <v>7865.5944600000003</v>
      </c>
      <c r="S22" s="511">
        <f>VLOOKUP($B22,'АПП+Стомат.'!$B$16:$AB$45,22,FALSE)</f>
        <v>23405</v>
      </c>
      <c r="T22" s="512">
        <f>ROUND((VLOOKUP($B22,'АПП+Стомат.'!$B$16:$AB$45,23,FALSE)/1000),5)</f>
        <v>31467.256369999999</v>
      </c>
      <c r="U22" s="96"/>
      <c r="V22" s="97"/>
      <c r="W22" s="554">
        <v>24511</v>
      </c>
      <c r="X22" s="559">
        <f>ROUND((VLOOKUP($B22,'АПП+Стомат.'!$B$16:$AB$45,10,FALSE)/1000),5)</f>
        <v>20657.295440000002</v>
      </c>
      <c r="Y22" s="513">
        <f t="shared" si="1"/>
        <v>238160.84691000002</v>
      </c>
      <c r="Z22" s="318">
        <f>VLOOKUP(B22,'АПП+Стомат.'!$B$4:$AQ$89,42,FALSE)/1000</f>
        <v>238160.84690653539</v>
      </c>
      <c r="AA22" s="401">
        <f t="shared" si="0"/>
        <v>3.464636392891407E-6</v>
      </c>
      <c r="AB22" s="96"/>
      <c r="AC22" s="97"/>
      <c r="AD22" s="96"/>
      <c r="AE22" s="97"/>
      <c r="AF22" s="96">
        <v>300</v>
      </c>
      <c r="AG22" s="97">
        <v>278.09257000000002</v>
      </c>
      <c r="AI22" s="393">
        <f t="shared" si="2"/>
        <v>87494</v>
      </c>
    </row>
    <row r="23" spans="1:35" ht="15" customHeight="1" x14ac:dyDescent="0.25">
      <c r="A23" s="5">
        <v>16</v>
      </c>
      <c r="B23" s="5">
        <v>390400</v>
      </c>
      <c r="C23" s="238" t="s">
        <v>94</v>
      </c>
      <c r="D23" s="554">
        <v>67129</v>
      </c>
      <c r="E23" s="556">
        <f>ROUND((VLOOKUP($B23,'АПП+Стомат.'!$B$16:$AB$45,6,FALSE)/1000),5)+G23+H23+J23-V23</f>
        <v>238641.18324000001</v>
      </c>
      <c r="F23" s="98"/>
      <c r="G23" s="98"/>
      <c r="H23" s="436">
        <v>14793.4285</v>
      </c>
      <c r="I23" s="555">
        <v>54</v>
      </c>
      <c r="J23" s="436">
        <v>33.416669999999968</v>
      </c>
      <c r="K23" s="560">
        <v>378206</v>
      </c>
      <c r="L23" s="559">
        <f>ROUND((VLOOKUP($B23,'АПП+Стомат.'!$B$16:$AB$45,8,FALSE)/1000),5)+N23+P23+R23+T23</f>
        <v>275416.75601000001</v>
      </c>
      <c r="M23" s="511">
        <f>VLOOKUP($B23,'АПП+Стомат.'!$B$16:$AB$45,20,FALSE)</f>
        <v>48577</v>
      </c>
      <c r="N23" s="512">
        <f>ROUND((VLOOKUP($B23,'АПП+Стомат.'!$B$16:$AB$45,21,FALSE)/1000),5)</f>
        <v>141459.6385</v>
      </c>
      <c r="O23" s="511">
        <f>VLOOKUP($B23,'АПП+Стомат.'!$B$16:$AB$45,24,FALSE)</f>
        <v>15629</v>
      </c>
      <c r="P23" s="512">
        <f>ROUND((VLOOKUP($B23,'АПП+Стомат.'!$B$16:$AB$45,25,FALSE)/1000),5)</f>
        <v>21243.887650000001</v>
      </c>
      <c r="Q23" s="511">
        <f>VLOOKUP($B23,'АПП+Стомат.'!$B$16:$AB$45,26,FALSE)</f>
        <v>13412</v>
      </c>
      <c r="R23" s="512">
        <f>ROUND((VLOOKUP($B23,'АПП+Стомат.'!$B$16:$AB$45,27,FALSE)/1000),5)</f>
        <v>18563.769469999999</v>
      </c>
      <c r="S23" s="511">
        <f>VLOOKUP($B23,'АПП+Стомат.'!$B$16:$AB$45,22,FALSE)</f>
        <v>55153</v>
      </c>
      <c r="T23" s="512">
        <f>ROUND((VLOOKUP($B23,'АПП+Стомат.'!$B$16:$AB$45,23,FALSE)/1000),5)</f>
        <v>75514.571760000006</v>
      </c>
      <c r="U23" s="96"/>
      <c r="V23" s="97"/>
      <c r="W23" s="554">
        <v>40749</v>
      </c>
      <c r="X23" s="559">
        <f>ROUND((VLOOKUP($B23,'АПП+Стомат.'!$B$16:$AB$45,10,FALSE)/1000),5)</f>
        <v>44036.831720000002</v>
      </c>
      <c r="Y23" s="513">
        <f t="shared" si="1"/>
        <v>558094.77097000007</v>
      </c>
      <c r="Z23" s="318">
        <f>VLOOKUP(B23,'АПП+Стомат.'!$B$4:$AQ$89,42,FALSE)/1000</f>
        <v>543267.9258098217</v>
      </c>
      <c r="AA23" s="401">
        <f t="shared" si="0"/>
        <v>14826.845160178374</v>
      </c>
      <c r="AB23" s="96"/>
      <c r="AC23" s="97"/>
      <c r="AD23" s="101"/>
      <c r="AE23" s="217"/>
      <c r="AF23" s="96">
        <v>600</v>
      </c>
      <c r="AG23" s="97">
        <v>555.71301000000005</v>
      </c>
      <c r="AI23" s="393">
        <f t="shared" si="2"/>
        <v>245435</v>
      </c>
    </row>
    <row r="24" spans="1:35" ht="15" customHeight="1" x14ac:dyDescent="0.25">
      <c r="A24" s="5">
        <v>17</v>
      </c>
      <c r="B24" s="5">
        <v>390110</v>
      </c>
      <c r="C24" s="238" t="s">
        <v>99</v>
      </c>
      <c r="D24" s="554">
        <v>5840</v>
      </c>
      <c r="E24" s="556">
        <f>ROUND((VLOOKUP($B24,'АПП+Стомат.'!$B$16:$AB$45,6,FALSE)/1000),5)+G24+H24+J24-V24</f>
        <v>15114.00729</v>
      </c>
      <c r="F24" s="98"/>
      <c r="G24" s="98"/>
      <c r="H24" s="436">
        <v>0</v>
      </c>
      <c r="I24" s="98"/>
      <c r="J24" s="436">
        <v>0</v>
      </c>
      <c r="K24" s="560">
        <v>28611</v>
      </c>
      <c r="L24" s="559">
        <f>ROUND((VLOOKUP($B24,'АПП+Стомат.'!$B$16:$AB$45,8,FALSE)/1000),5)+N24+P24+R24+T24</f>
        <v>20313.01467</v>
      </c>
      <c r="M24" s="511">
        <f>VLOOKUP($B24,'АПП+Стомат.'!$B$16:$AB$45,20,FALSE)</f>
        <v>4010</v>
      </c>
      <c r="N24" s="512">
        <f>ROUND((VLOOKUP($B24,'АПП+Стомат.'!$B$16:$AB$45,21,FALSE)/1000),5)</f>
        <v>11410.99569</v>
      </c>
      <c r="O24" s="511">
        <f>VLOOKUP($B24,'АПП+Стомат.'!$B$16:$AB$45,24,FALSE)</f>
        <v>1288</v>
      </c>
      <c r="P24" s="512">
        <f>ROUND((VLOOKUP($B24,'АПП+Стомат.'!$B$16:$AB$45,25,FALSE)/1000),5)</f>
        <v>1815.2554</v>
      </c>
      <c r="Q24" s="511">
        <f>VLOOKUP($B24,'АПП+Стомат.'!$B$16:$AB$45,26,FALSE)</f>
        <v>1212</v>
      </c>
      <c r="R24" s="512">
        <f>ROUND((VLOOKUP($B24,'АПП+Стомат.'!$B$16:$AB$45,27,FALSE)/1000),5)</f>
        <v>1650.20586</v>
      </c>
      <c r="S24" s="511">
        <f>VLOOKUP($B24,'АПП+Стомат.'!$B$16:$AB$45,22,FALSE)</f>
        <v>3726</v>
      </c>
      <c r="T24" s="512">
        <f>ROUND((VLOOKUP($B24,'АПП+Стомат.'!$B$16:$AB$45,23,FALSE)/1000),5)</f>
        <v>5062.0455300000003</v>
      </c>
      <c r="U24" s="96"/>
      <c r="V24" s="97"/>
      <c r="W24" s="554">
        <v>4717</v>
      </c>
      <c r="X24" s="559">
        <f>ROUND((VLOOKUP($B24,'АПП+Стомат.'!$B$16:$AB$45,10,FALSE)/1000),5)</f>
        <v>3398.848</v>
      </c>
      <c r="Y24" s="513">
        <f t="shared" si="1"/>
        <v>38825.869959999996</v>
      </c>
      <c r="Z24" s="318">
        <f>VLOOKUP(B24,'АПП+Стомат.'!$B$4:$AQ$89,42,FALSE)/1000</f>
        <v>38825.869959480304</v>
      </c>
      <c r="AA24" s="401">
        <f t="shared" si="0"/>
        <v>5.1969254855066538E-7</v>
      </c>
      <c r="AB24" s="96"/>
      <c r="AC24" s="97"/>
      <c r="AD24" s="96"/>
      <c r="AE24" s="97"/>
      <c r="AF24" s="96"/>
      <c r="AG24" s="97"/>
      <c r="AI24" s="393">
        <f t="shared" si="2"/>
        <v>18375</v>
      </c>
    </row>
    <row r="25" spans="1:35" ht="15" customHeight="1" x14ac:dyDescent="0.25">
      <c r="A25" s="5">
        <v>18</v>
      </c>
      <c r="B25" s="5">
        <v>390890</v>
      </c>
      <c r="C25" s="238" t="s">
        <v>116</v>
      </c>
      <c r="D25" s="554">
        <v>76926</v>
      </c>
      <c r="E25" s="556">
        <f>ROUND((VLOOKUP($B25,'АПП+Стомат.'!$B$16:$AB$45,6,FALSE)/1000),5)+G25+H25+J25-V25</f>
        <v>303232.85537999996</v>
      </c>
      <c r="F25" s="98"/>
      <c r="G25" s="98"/>
      <c r="H25" s="436">
        <v>4707.6268399999999</v>
      </c>
      <c r="I25" s="98"/>
      <c r="J25" s="436">
        <v>0</v>
      </c>
      <c r="K25" s="560">
        <v>533636</v>
      </c>
      <c r="L25" s="559">
        <f>ROUND((VLOOKUP($B25,'АПП+Стомат.'!$B$16:$AB$45,8,FALSE)/1000),5)+N25+P25+R25+T25</f>
        <v>322204.12245999998</v>
      </c>
      <c r="M25" s="511">
        <f>VLOOKUP($B25,'АПП+Стомат.'!$B$16:$AB$45,20,FALSE)</f>
        <v>619</v>
      </c>
      <c r="N25" s="512">
        <f>ROUND((VLOOKUP($B25,'АПП+Стомат.'!$B$16:$AB$45,21,FALSE)/1000),5)</f>
        <v>4337.5339100000001</v>
      </c>
      <c r="O25" s="511">
        <f>VLOOKUP($B25,'АПП+Стомат.'!$B$16:$AB$45,24,FALSE)</f>
        <v>0</v>
      </c>
      <c r="P25" s="512">
        <f>ROUND((VLOOKUP($B25,'АПП+Стомат.'!$B$16:$AB$45,25,FALSE)/1000),5)</f>
        <v>0</v>
      </c>
      <c r="Q25" s="511">
        <f>VLOOKUP($B25,'АПП+Стомат.'!$B$16:$AB$45,26,FALSE)</f>
        <v>95608</v>
      </c>
      <c r="R25" s="512">
        <f>ROUND((VLOOKUP($B25,'АПП+Стомат.'!$B$16:$AB$45,27,FALSE)/1000),5)</f>
        <v>254592.78159999999</v>
      </c>
      <c r="S25" s="511">
        <f>VLOOKUP($B25,'АПП+Стомат.'!$B$16:$AB$45,22,FALSE)</f>
        <v>0</v>
      </c>
      <c r="T25" s="512">
        <f>ROUND((VLOOKUP($B25,'АПП+Стомат.'!$B$16:$AB$45,23,FALSE)/1000),5)</f>
        <v>0</v>
      </c>
      <c r="U25" s="511">
        <f>VLOOKUP($B25,'АПП+Стомат.'!$B$4:$AB$90,18,FALSE)</f>
        <v>1298</v>
      </c>
      <c r="V25" s="512">
        <f>VLOOKUP($B25,'АПП+Стомат.'!$B$4:$AB$90,19,FALSE)/1000</f>
        <v>18546.219220000017</v>
      </c>
      <c r="W25" s="554">
        <v>55481</v>
      </c>
      <c r="X25" s="559">
        <f>ROUND((VLOOKUP($B25,'АПП+Стомат.'!$B$16:$AB$45,10,FALSE)/1000),5)</f>
        <v>32254.972000000002</v>
      </c>
      <c r="Y25" s="513">
        <f t="shared" si="1"/>
        <v>676238.16905999987</v>
      </c>
      <c r="Z25" s="318">
        <f>VLOOKUP(B25,'АПП+Стомат.'!$B$4:$AQ$89,42,FALSE)/1000</f>
        <v>690076.76143164386</v>
      </c>
      <c r="AA25" s="401">
        <f t="shared" si="0"/>
        <v>-13838.592371643987</v>
      </c>
      <c r="AB25" s="96">
        <v>50</v>
      </c>
      <c r="AC25" s="97">
        <v>1045.2750000000001</v>
      </c>
      <c r="AD25" s="96">
        <v>28</v>
      </c>
      <c r="AE25" s="97">
        <v>574.90125</v>
      </c>
      <c r="AF25" s="96">
        <v>200</v>
      </c>
      <c r="AG25" s="97">
        <v>356.10399999999998</v>
      </c>
      <c r="AI25" s="393">
        <f t="shared" si="2"/>
        <v>437409</v>
      </c>
    </row>
    <row r="26" spans="1:35" ht="15" customHeight="1" x14ac:dyDescent="0.25">
      <c r="A26" s="5">
        <v>19</v>
      </c>
      <c r="B26" s="5">
        <v>390200</v>
      </c>
      <c r="C26" s="238" t="s">
        <v>29</v>
      </c>
      <c r="D26" s="554">
        <v>8980</v>
      </c>
      <c r="E26" s="556">
        <f>ROUND((VLOOKUP($B26,'АПП+Стомат.'!$B$16:$AB$45,6,FALSE)/1000),5)+G26+H26+J26-V26</f>
        <v>47588.208079999997</v>
      </c>
      <c r="F26" s="98"/>
      <c r="G26" s="98"/>
      <c r="H26" s="436">
        <v>430.75981999999999</v>
      </c>
      <c r="I26" s="98"/>
      <c r="J26" s="436">
        <v>0</v>
      </c>
      <c r="K26" s="560">
        <v>63566</v>
      </c>
      <c r="L26" s="559">
        <f>ROUND((VLOOKUP($B26,'АПП+Стомат.'!$B$16:$AB$45,8,FALSE)/1000),5)+N26+P26+R26+T26</f>
        <v>61230.615259999999</v>
      </c>
      <c r="M26" s="511">
        <f>VLOOKUP($B26,'АПП+Стомат.'!$B$16:$AB$45,20,FALSE)</f>
        <v>5716</v>
      </c>
      <c r="N26" s="512">
        <f>ROUND((VLOOKUP($B26,'АПП+Стомат.'!$B$16:$AB$45,21,FALSE)/1000),5)</f>
        <v>16995.892500000002</v>
      </c>
      <c r="O26" s="511">
        <f>VLOOKUP($B26,'АПП+Стомат.'!$B$16:$AB$45,24,FALSE)</f>
        <v>1957</v>
      </c>
      <c r="P26" s="512">
        <f>ROUND((VLOOKUP($B26,'АПП+Стомат.'!$B$16:$AB$45,25,FALSE)/1000),5)</f>
        <v>3331.6082299999998</v>
      </c>
      <c r="Q26" s="511">
        <f>VLOOKUP($B26,'АПП+Стомат.'!$B$16:$AB$45,26,FALSE)</f>
        <v>5305</v>
      </c>
      <c r="R26" s="512">
        <f>ROUND((VLOOKUP($B26,'АПП+Стомат.'!$B$16:$AB$45,27,FALSE)/1000),5)</f>
        <v>6754.90625</v>
      </c>
      <c r="S26" s="511">
        <f>VLOOKUP($B26,'АПП+Стомат.'!$B$16:$AB$45,22,FALSE)</f>
        <v>5209</v>
      </c>
      <c r="T26" s="512">
        <f>ROUND((VLOOKUP($B26,'АПП+Стомат.'!$B$16:$AB$45,23,FALSE)/1000),5)</f>
        <v>6489.4156899999998</v>
      </c>
      <c r="U26" s="96"/>
      <c r="V26" s="97"/>
      <c r="W26" s="554">
        <v>2325</v>
      </c>
      <c r="X26" s="559">
        <f>ROUND((VLOOKUP($B26,'АПП+Стомат.'!$B$16:$AB$45,10,FALSE)/1000),5)</f>
        <v>6426.5628299999998</v>
      </c>
      <c r="Y26" s="513">
        <f t="shared" si="1"/>
        <v>115245.38617</v>
      </c>
      <c r="Z26" s="318">
        <f>VLOOKUP(B26,'АПП+Стомат.'!$B$4:$AQ$89,42,FALSE)/1000</f>
        <v>114814.62635617527</v>
      </c>
      <c r="AA26" s="401">
        <f t="shared" si="0"/>
        <v>430.75981382472673</v>
      </c>
      <c r="AB26" s="96"/>
      <c r="AC26" s="97"/>
      <c r="AD26" s="96"/>
      <c r="AE26" s="97"/>
      <c r="AF26" s="96"/>
      <c r="AG26" s="97"/>
      <c r="AI26" s="393">
        <f t="shared" si="2"/>
        <v>45379</v>
      </c>
    </row>
    <row r="27" spans="1:35" ht="15" customHeight="1" x14ac:dyDescent="0.25">
      <c r="A27" s="5">
        <v>20</v>
      </c>
      <c r="B27" s="5">
        <v>390160</v>
      </c>
      <c r="C27" s="238" t="s">
        <v>30</v>
      </c>
      <c r="D27" s="554">
        <v>10620</v>
      </c>
      <c r="E27" s="556">
        <f>ROUND((VLOOKUP($B27,'АПП+Стомат.'!$B$16:$AB$45,6,FALSE)/1000),5)+G27+H27+J27-V27</f>
        <v>56829.96041</v>
      </c>
      <c r="F27" s="98"/>
      <c r="G27" s="98"/>
      <c r="H27" s="436">
        <v>375.79041999999998</v>
      </c>
      <c r="I27" s="98"/>
      <c r="J27" s="436">
        <v>0</v>
      </c>
      <c r="K27" s="560">
        <v>50235</v>
      </c>
      <c r="L27" s="559">
        <f>ROUND((VLOOKUP($B27,'АПП+Стомат.'!$B$16:$AB$45,8,FALSE)/1000),5)+N27+P27+R27+T27</f>
        <v>40912.983899999999</v>
      </c>
      <c r="M27" s="511">
        <f>VLOOKUP($B27,'АПП+Стомат.'!$B$16:$AB$45,20,FALSE)</f>
        <v>6349</v>
      </c>
      <c r="N27" s="512">
        <f>ROUND((VLOOKUP($B27,'АПП+Стомат.'!$B$16:$AB$45,21,FALSE)/1000),5)</f>
        <v>18280.22352</v>
      </c>
      <c r="O27" s="511">
        <f>VLOOKUP($B27,'АПП+Стомат.'!$B$16:$AB$45,24,FALSE)</f>
        <v>1943</v>
      </c>
      <c r="P27" s="512">
        <f>ROUND((VLOOKUP($B27,'АПП+Стомат.'!$B$16:$AB$45,25,FALSE)/1000),5)</f>
        <v>2295.96693</v>
      </c>
      <c r="Q27" s="511">
        <f>VLOOKUP($B27,'АПП+Стомат.'!$B$16:$AB$45,26,FALSE)</f>
        <v>6326</v>
      </c>
      <c r="R27" s="512">
        <f>ROUND((VLOOKUP($B27,'АПП+Стомат.'!$B$16:$AB$45,27,FALSE)/1000),5)</f>
        <v>12957.28716</v>
      </c>
      <c r="S27" s="511">
        <f>VLOOKUP($B27,'АПП+Стомат.'!$B$16:$AB$45,22,FALSE)</f>
        <v>5487</v>
      </c>
      <c r="T27" s="512">
        <f>ROUND((VLOOKUP($B27,'АПП+Стомат.'!$B$16:$AB$45,23,FALSE)/1000),5)</f>
        <v>6999.9137300000002</v>
      </c>
      <c r="U27" s="96"/>
      <c r="V27" s="97"/>
      <c r="W27" s="554">
        <v>8629</v>
      </c>
      <c r="X27" s="559">
        <f>ROUND((VLOOKUP($B27,'АПП+Стомат.'!$B$16:$AB$45,10,FALSE)/1000),5)</f>
        <v>7113.5119999999997</v>
      </c>
      <c r="Y27" s="513">
        <f t="shared" si="1"/>
        <v>104856.45630999999</v>
      </c>
      <c r="Z27" s="318">
        <f>VLOOKUP(B27,'АПП+Стомат.'!$B$4:$AQ$89,42,FALSE)/1000</f>
        <v>104480.66588562384</v>
      </c>
      <c r="AA27" s="401">
        <f t="shared" si="0"/>
        <v>375.79042437615863</v>
      </c>
      <c r="AB27" s="96"/>
      <c r="AC27" s="97"/>
      <c r="AD27" s="101"/>
      <c r="AE27" s="217"/>
      <c r="AF27" s="96"/>
      <c r="AG27" s="97"/>
      <c r="AI27" s="393">
        <f t="shared" si="2"/>
        <v>30130</v>
      </c>
    </row>
    <row r="28" spans="1:35" ht="15" customHeight="1" x14ac:dyDescent="0.25">
      <c r="A28" s="5">
        <v>21</v>
      </c>
      <c r="B28" s="201">
        <v>390210</v>
      </c>
      <c r="C28" s="238" t="s">
        <v>31</v>
      </c>
      <c r="D28" s="554">
        <v>11203</v>
      </c>
      <c r="E28" s="556">
        <f>ROUND((VLOOKUP($B28,'АПП+Стомат.'!$B$16:$AB$45,6,FALSE)/1000),5)+G28+H28+J28-V28</f>
        <v>38398.397150000004</v>
      </c>
      <c r="F28" s="98"/>
      <c r="G28" s="98"/>
      <c r="H28" s="436">
        <v>1124.30683</v>
      </c>
      <c r="I28" s="98"/>
      <c r="J28" s="436">
        <v>0</v>
      </c>
      <c r="K28" s="560">
        <v>42415</v>
      </c>
      <c r="L28" s="559">
        <f>ROUND((VLOOKUP($B28,'АПП+Стомат.'!$B$16:$AB$45,8,FALSE)/1000),5)+N28+P28+R28+T28</f>
        <v>70356.144350000002</v>
      </c>
      <c r="M28" s="511">
        <f>VLOOKUP($B28,'АПП+Стомат.'!$B$16:$AB$45,20,FALSE)</f>
        <v>6451</v>
      </c>
      <c r="N28" s="512">
        <f>ROUND((VLOOKUP($B28,'АПП+Стомат.'!$B$16:$AB$45,21,FALSE)/1000),5)</f>
        <v>19475.164720000001</v>
      </c>
      <c r="O28" s="511">
        <f>VLOOKUP($B28,'АПП+Стомат.'!$B$16:$AB$45,24,FALSE)</f>
        <v>1959</v>
      </c>
      <c r="P28" s="512">
        <f>ROUND((VLOOKUP($B28,'АПП+Стомат.'!$B$16:$AB$45,25,FALSE)/1000),5)</f>
        <v>2486.3469700000001</v>
      </c>
      <c r="Q28" s="511">
        <f>VLOOKUP($B28,'АПП+Стомат.'!$B$16:$AB$45,26,FALSE)</f>
        <v>5510</v>
      </c>
      <c r="R28" s="512">
        <f>ROUND((VLOOKUP($B28,'АПП+Стомат.'!$B$16:$AB$45,27,FALSE)/1000),5)</f>
        <v>9091.3182500000003</v>
      </c>
      <c r="S28" s="511">
        <f>VLOOKUP($B28,'АПП+Стомат.'!$B$16:$AB$45,22,FALSE)</f>
        <v>6048</v>
      </c>
      <c r="T28" s="512">
        <f>ROUND((VLOOKUP($B28,'АПП+Стомат.'!$B$16:$AB$45,23,FALSE)/1000),5)</f>
        <v>7829.3612499999999</v>
      </c>
      <c r="U28" s="96"/>
      <c r="V28" s="97"/>
      <c r="W28" s="554">
        <v>1014</v>
      </c>
      <c r="X28" s="559">
        <f>ROUND((VLOOKUP($B28,'АПП+Стомат.'!$B$16:$AB$45,10,FALSE)/1000),5)</f>
        <v>6653.95064</v>
      </c>
      <c r="Y28" s="513">
        <f t="shared" si="1"/>
        <v>115408.49214</v>
      </c>
      <c r="Z28" s="318">
        <f>VLOOKUP(B28,'АПП+Стомат.'!$B$4:$AQ$89,42,FALSE)/1000</f>
        <v>114284.18531487123</v>
      </c>
      <c r="AA28" s="401">
        <f t="shared" si="0"/>
        <v>1124.3068251287768</v>
      </c>
      <c r="AB28" s="96"/>
      <c r="AC28" s="97"/>
      <c r="AD28" s="96"/>
      <c r="AE28" s="97"/>
      <c r="AF28" s="96"/>
      <c r="AG28" s="97"/>
      <c r="AI28" s="393">
        <f t="shared" si="2"/>
        <v>22447</v>
      </c>
    </row>
    <row r="29" spans="1:35" ht="15" customHeight="1" x14ac:dyDescent="0.25">
      <c r="A29" s="5">
        <v>22</v>
      </c>
      <c r="B29" s="5">
        <v>390220</v>
      </c>
      <c r="C29" s="238" t="s">
        <v>181</v>
      </c>
      <c r="D29" s="554">
        <v>41769</v>
      </c>
      <c r="E29" s="556">
        <f>ROUND((VLOOKUP($B29,'АПП+Стомат.'!$B$16:$AB$45,6,FALSE)/1000),5)+G29+H29+J29-V29</f>
        <v>104693.58942</v>
      </c>
      <c r="F29" s="98"/>
      <c r="G29" s="98"/>
      <c r="H29" s="436">
        <v>2484.0780299999997</v>
      </c>
      <c r="I29" s="98"/>
      <c r="J29" s="436">
        <v>0</v>
      </c>
      <c r="K29" s="560">
        <v>223090</v>
      </c>
      <c r="L29" s="559">
        <f>ROUND((VLOOKUP($B29,'АПП+Стомат.'!$B$16:$AB$45,8,FALSE)/1000),5)+N29+P29+R29+T29</f>
        <v>128654.54942999998</v>
      </c>
      <c r="M29" s="511">
        <f>VLOOKUP($B29,'АПП+Стомат.'!$B$16:$AB$45,20,FALSE)</f>
        <v>10004</v>
      </c>
      <c r="N29" s="512">
        <f>ROUND((VLOOKUP($B29,'АПП+Стомат.'!$B$16:$AB$45,21,FALSE)/1000),5)</f>
        <v>30311.57576</v>
      </c>
      <c r="O29" s="511">
        <f>VLOOKUP($B29,'АПП+Стомат.'!$B$16:$AB$45,24,FALSE)</f>
        <v>3375</v>
      </c>
      <c r="P29" s="512">
        <f>ROUND((VLOOKUP($B29,'АПП+Стомат.'!$B$16:$AB$45,25,FALSE)/1000),5)</f>
        <v>4092.7849000000001</v>
      </c>
      <c r="Q29" s="511">
        <f>VLOOKUP($B29,'АПП+Стомат.'!$B$16:$AB$45,26,FALSE)</f>
        <v>14103</v>
      </c>
      <c r="R29" s="512">
        <f>ROUND((VLOOKUP($B29,'АПП+Стомат.'!$B$16:$AB$45,27,FALSE)/1000),5)</f>
        <v>25526.881249999999</v>
      </c>
      <c r="S29" s="511">
        <f>VLOOKUP($B29,'АПП+Стомат.'!$B$16:$AB$45,22,FALSE)</f>
        <v>14964</v>
      </c>
      <c r="T29" s="512">
        <f>ROUND((VLOOKUP($B29,'АПП+Стомат.'!$B$16:$AB$45,23,FALSE)/1000),5)</f>
        <v>19989.642390000001</v>
      </c>
      <c r="U29" s="96"/>
      <c r="V29" s="97"/>
      <c r="W29" s="554">
        <v>12646</v>
      </c>
      <c r="X29" s="559">
        <f>ROUND((VLOOKUP($B29,'АПП+Стомат.'!$B$16:$AB$45,10,FALSE)/1000),5)</f>
        <v>18836.53025</v>
      </c>
      <c r="Y29" s="513">
        <f t="shared" si="1"/>
        <v>252184.6691</v>
      </c>
      <c r="Z29" s="318">
        <f>VLOOKUP(B29,'АПП+Стомат.'!$B$4:$AQ$89,42,FALSE)/1000</f>
        <v>249700.59106857073</v>
      </c>
      <c r="AA29" s="401">
        <f t="shared" si="0"/>
        <v>2484.0780314292642</v>
      </c>
      <c r="AB29" s="96"/>
      <c r="AC29" s="97"/>
      <c r="AD29" s="96"/>
      <c r="AE29" s="97"/>
      <c r="AF29" s="96">
        <v>300</v>
      </c>
      <c r="AG29" s="97">
        <v>278.09257000000002</v>
      </c>
      <c r="AI29" s="393">
        <f t="shared" si="2"/>
        <v>180644</v>
      </c>
    </row>
    <row r="30" spans="1:35" ht="15" customHeight="1" x14ac:dyDescent="0.25">
      <c r="A30" s="5">
        <v>23</v>
      </c>
      <c r="B30" s="5">
        <v>390230</v>
      </c>
      <c r="C30" s="238" t="s">
        <v>33</v>
      </c>
      <c r="D30" s="554">
        <v>10980</v>
      </c>
      <c r="E30" s="556">
        <f>ROUND((VLOOKUP($B30,'АПП+Стомат.'!$B$16:$AB$45,6,FALSE)/1000),5)+G30+H30+J30-V30</f>
        <v>63253.077689999998</v>
      </c>
      <c r="F30" s="98"/>
      <c r="G30" s="98"/>
      <c r="H30" s="436">
        <v>9622.6296000000002</v>
      </c>
      <c r="I30" s="555">
        <v>6</v>
      </c>
      <c r="J30" s="436">
        <v>1.7187000000000001</v>
      </c>
      <c r="K30" s="560">
        <v>94999</v>
      </c>
      <c r="L30" s="559">
        <f>ROUND((VLOOKUP($B30,'АПП+Стомат.'!$B$16:$AB$45,8,FALSE)/1000),5)+N30+P30+R30+T30</f>
        <v>54434.801039999991</v>
      </c>
      <c r="M30" s="511">
        <f>VLOOKUP($B30,'АПП+Стомат.'!$B$16:$AB$45,20,FALSE)</f>
        <v>4232</v>
      </c>
      <c r="N30" s="512">
        <f>ROUND((VLOOKUP($B30,'АПП+Стомат.'!$B$16:$AB$45,21,FALSE)/1000),5)</f>
        <v>13467.652</v>
      </c>
      <c r="O30" s="511">
        <f>VLOOKUP($B30,'АПП+Стомат.'!$B$16:$AB$45,24,FALSE)</f>
        <v>3746</v>
      </c>
      <c r="P30" s="512">
        <f>ROUND((VLOOKUP($B30,'АПП+Стомат.'!$B$16:$AB$45,25,FALSE)/1000),5)</f>
        <v>6435.4516299999996</v>
      </c>
      <c r="Q30" s="511">
        <f>VLOOKUP($B30,'АПП+Стомат.'!$B$16:$AB$45,26,FALSE)</f>
        <v>6293</v>
      </c>
      <c r="R30" s="512">
        <f>ROUND((VLOOKUP($B30,'АПП+Стомат.'!$B$16:$AB$45,27,FALSE)/1000),5)</f>
        <v>7396.6894899999998</v>
      </c>
      <c r="S30" s="511">
        <f>VLOOKUP($B30,'АПП+Стомат.'!$B$16:$AB$45,22,FALSE)</f>
        <v>5061</v>
      </c>
      <c r="T30" s="512">
        <f>ROUND((VLOOKUP($B30,'АПП+Стомат.'!$B$16:$AB$45,23,FALSE)/1000),5)</f>
        <v>7020.5606699999998</v>
      </c>
      <c r="U30" s="96"/>
      <c r="V30" s="97"/>
      <c r="W30" s="554">
        <v>4555</v>
      </c>
      <c r="X30" s="559">
        <f>ROUND((VLOOKUP($B30,'АПП+Стомат.'!$B$16:$AB$45,10,FALSE)/1000),5)</f>
        <v>7743.2453599999999</v>
      </c>
      <c r="Y30" s="513">
        <f t="shared" si="1"/>
        <v>125431.12409</v>
      </c>
      <c r="Z30" s="318">
        <f>VLOOKUP(B30,'АПП+Стомат.'!$B$4:$AQ$89,42,FALSE)/1000</f>
        <v>121875.78813367889</v>
      </c>
      <c r="AA30" s="401">
        <f t="shared" si="0"/>
        <v>3555.3359563211125</v>
      </c>
      <c r="AB30" s="96"/>
      <c r="AC30" s="97"/>
      <c r="AD30" s="96"/>
      <c r="AE30" s="97"/>
      <c r="AF30" s="96"/>
      <c r="AG30" s="97"/>
      <c r="AI30" s="393">
        <f t="shared" si="2"/>
        <v>75667</v>
      </c>
    </row>
    <row r="31" spans="1:35" ht="15" customHeight="1" x14ac:dyDescent="0.25">
      <c r="A31" s="5">
        <v>24</v>
      </c>
      <c r="B31" s="5">
        <v>390240</v>
      </c>
      <c r="C31" s="238" t="s">
        <v>34</v>
      </c>
      <c r="D31" s="554">
        <v>10783</v>
      </c>
      <c r="E31" s="556">
        <f>ROUND((VLOOKUP($B31,'АПП+Стомат.'!$B$16:$AB$45,6,FALSE)/1000),5)+G31+H31+J31-V31</f>
        <v>79165.93899000001</v>
      </c>
      <c r="F31" s="98"/>
      <c r="G31" s="98"/>
      <c r="H31" s="436">
        <v>7929.3473600000007</v>
      </c>
      <c r="I31" s="555">
        <v>30</v>
      </c>
      <c r="J31" s="436">
        <v>12.504999999999999</v>
      </c>
      <c r="K31" s="560">
        <v>143347</v>
      </c>
      <c r="L31" s="559">
        <f>ROUND((VLOOKUP($B31,'АПП+Стомат.'!$B$16:$AB$45,8,FALSE)/1000),5)+N31+P31+R31+T31</f>
        <v>82545.458010000002</v>
      </c>
      <c r="M31" s="511">
        <f>VLOOKUP($B31,'АПП+Стомат.'!$B$16:$AB$45,20,FALSE)</f>
        <v>8127</v>
      </c>
      <c r="N31" s="512">
        <f>ROUND((VLOOKUP($B31,'АПП+Стомат.'!$B$16:$AB$45,21,FALSE)/1000),5)</f>
        <v>23986.651529999999</v>
      </c>
      <c r="O31" s="511">
        <f>VLOOKUP($B31,'АПП+Стомат.'!$B$16:$AB$45,24,FALSE)</f>
        <v>2595</v>
      </c>
      <c r="P31" s="512">
        <f>ROUND((VLOOKUP($B31,'АПП+Стомат.'!$B$16:$AB$45,25,FALSE)/1000),5)</f>
        <v>3317.0386600000002</v>
      </c>
      <c r="Q31" s="511">
        <f>VLOOKUP($B31,'АПП+Стомат.'!$B$16:$AB$45,26,FALSE)</f>
        <v>6663</v>
      </c>
      <c r="R31" s="512">
        <f>ROUND((VLOOKUP($B31,'АПП+Стомат.'!$B$16:$AB$45,27,FALSE)/1000),5)</f>
        <v>12338.477870000001</v>
      </c>
      <c r="S31" s="511">
        <f>VLOOKUP($B31,'АПП+Стомат.'!$B$16:$AB$45,22,FALSE)</f>
        <v>8625</v>
      </c>
      <c r="T31" s="512">
        <f>ROUND((VLOOKUP($B31,'АПП+Стомат.'!$B$16:$AB$45,23,FALSE)/1000),5)</f>
        <v>11454.9079</v>
      </c>
      <c r="U31" s="96"/>
      <c r="V31" s="97"/>
      <c r="W31" s="554">
        <v>6241</v>
      </c>
      <c r="X31" s="559">
        <f>ROUND((VLOOKUP($B31,'АПП+Стомат.'!$B$16:$AB$45,10,FALSE)/1000),5)</f>
        <v>8598.4365099999995</v>
      </c>
      <c r="Y31" s="513">
        <f t="shared" si="1"/>
        <v>170309.83351</v>
      </c>
      <c r="Z31" s="318">
        <f>VLOOKUP(B31,'АПП+Стомат.'!$B$4:$AQ$89,42,FALSE)/1000</f>
        <v>164690.99089060642</v>
      </c>
      <c r="AA31" s="401">
        <f t="shared" si="0"/>
        <v>5618.8426193935738</v>
      </c>
      <c r="AB31" s="96"/>
      <c r="AC31" s="97"/>
      <c r="AD31" s="101"/>
      <c r="AE31" s="217"/>
      <c r="AF31" s="96"/>
      <c r="AG31" s="97"/>
      <c r="AI31" s="393">
        <f t="shared" si="2"/>
        <v>117337</v>
      </c>
    </row>
    <row r="32" spans="1:35" ht="15" customHeight="1" x14ac:dyDescent="0.25">
      <c r="A32" s="5">
        <v>25</v>
      </c>
      <c r="B32" s="5">
        <v>390290</v>
      </c>
      <c r="C32" s="238" t="s">
        <v>35</v>
      </c>
      <c r="D32" s="554">
        <v>6029</v>
      </c>
      <c r="E32" s="556">
        <f>ROUND((VLOOKUP($B32,'АПП+Стомат.'!$B$16:$AB$45,6,FALSE)/1000),5)+G32+H32+J32-V32</f>
        <v>17864.921140000002</v>
      </c>
      <c r="F32" s="98"/>
      <c r="G32" s="98"/>
      <c r="H32" s="436">
        <v>996.19855000000007</v>
      </c>
      <c r="I32" s="98"/>
      <c r="J32" s="436">
        <v>0</v>
      </c>
      <c r="K32" s="560">
        <v>24928</v>
      </c>
      <c r="L32" s="559">
        <f>ROUND((VLOOKUP($B32,'АПП+Стомат.'!$B$16:$AB$45,8,FALSE)/1000),5)+N32+P32+R32+T32</f>
        <v>28065.013500000001</v>
      </c>
      <c r="M32" s="511">
        <f>VLOOKUP($B32,'АПП+Стомат.'!$B$16:$AB$45,20,FALSE)</f>
        <v>2553</v>
      </c>
      <c r="N32" s="512">
        <f>ROUND((VLOOKUP($B32,'АПП+Стомат.'!$B$16:$AB$45,21,FALSE)/1000),5)</f>
        <v>7674.7308999999996</v>
      </c>
      <c r="O32" s="511">
        <f>VLOOKUP($B32,'АПП+Стомат.'!$B$16:$AB$45,24,FALSE)</f>
        <v>828</v>
      </c>
      <c r="P32" s="512">
        <f>ROUND((VLOOKUP($B32,'АПП+Стомат.'!$B$16:$AB$45,25,FALSE)/1000),5)</f>
        <v>1009.05128</v>
      </c>
      <c r="Q32" s="511">
        <f>VLOOKUP($B32,'АПП+Стомат.'!$B$16:$AB$45,26,FALSE)</f>
        <v>2071</v>
      </c>
      <c r="R32" s="512">
        <f>ROUND((VLOOKUP($B32,'АПП+Стомат.'!$B$16:$AB$45,27,FALSE)/1000),5)</f>
        <v>4290.0995999999996</v>
      </c>
      <c r="S32" s="511">
        <f>VLOOKUP($B32,'АПП+Стомат.'!$B$16:$AB$45,22,FALSE)</f>
        <v>2352</v>
      </c>
      <c r="T32" s="512">
        <f>ROUND((VLOOKUP($B32,'АПП+Стомат.'!$B$16:$AB$45,23,FALSE)/1000),5)</f>
        <v>2837.0513900000001</v>
      </c>
      <c r="U32" s="96"/>
      <c r="V32" s="97"/>
      <c r="W32" s="554">
        <v>3071</v>
      </c>
      <c r="X32" s="559">
        <f>ROUND((VLOOKUP($B32,'АПП+Стомат.'!$B$16:$AB$45,10,FALSE)/1000),5)</f>
        <v>2639.22</v>
      </c>
      <c r="Y32" s="513">
        <f t="shared" si="1"/>
        <v>48569.154640000008</v>
      </c>
      <c r="Z32" s="318">
        <f>VLOOKUP(B32,'АПП+Стомат.'!$B$4:$AQ$89,42,FALSE)/1000</f>
        <v>47582.977098787203</v>
      </c>
      <c r="AA32" s="401">
        <f t="shared" si="0"/>
        <v>986.1775412128045</v>
      </c>
      <c r="AB32" s="96"/>
      <c r="AC32" s="97"/>
      <c r="AD32" s="96"/>
      <c r="AE32" s="97"/>
      <c r="AF32" s="96"/>
      <c r="AG32" s="97"/>
      <c r="AI32" s="393">
        <f t="shared" si="2"/>
        <v>17124</v>
      </c>
    </row>
    <row r="33" spans="1:35" ht="15" customHeight="1" x14ac:dyDescent="0.25">
      <c r="A33" s="5">
        <v>26</v>
      </c>
      <c r="B33" s="5">
        <v>390380</v>
      </c>
      <c r="C33" s="238" t="s">
        <v>36</v>
      </c>
      <c r="D33" s="554">
        <v>6837</v>
      </c>
      <c r="E33" s="556">
        <f>ROUND((VLOOKUP($B33,'АПП+Стомат.'!$B$16:$AB$45,6,FALSE)/1000),5)+G33+H33+J33-V33</f>
        <v>7615.1845800000001</v>
      </c>
      <c r="F33" s="98"/>
      <c r="G33" s="98"/>
      <c r="H33" s="436">
        <v>0</v>
      </c>
      <c r="I33" s="98"/>
      <c r="J33" s="436">
        <v>0</v>
      </c>
      <c r="K33" s="560">
        <v>13338</v>
      </c>
      <c r="L33" s="559">
        <f>ROUND((VLOOKUP($B33,'АПП+Стомат.'!$B$16:$AB$45,8,FALSE)/1000),5)+N33+P33+R33+T33</f>
        <v>11819.64862</v>
      </c>
      <c r="M33" s="511">
        <f>VLOOKUP($B33,'АПП+Стомат.'!$B$16:$AB$45,20,FALSE)</f>
        <v>1584</v>
      </c>
      <c r="N33" s="512">
        <f>ROUND((VLOOKUP($B33,'АПП+Стомат.'!$B$16:$AB$45,21,FALSE)/1000),5)</f>
        <v>4300.7678599999999</v>
      </c>
      <c r="O33" s="511">
        <f>VLOOKUP($B33,'АПП+Стомат.'!$B$16:$AB$45,24,FALSE)</f>
        <v>538</v>
      </c>
      <c r="P33" s="512">
        <f>ROUND((VLOOKUP($B33,'АПП+Стомат.'!$B$16:$AB$45,25,FALSE)/1000),5)</f>
        <v>833.79110000000003</v>
      </c>
      <c r="Q33" s="511">
        <f>VLOOKUP($B33,'АПП+Стомат.'!$B$16:$AB$45,26,FALSE)</f>
        <v>1332</v>
      </c>
      <c r="R33" s="512">
        <f>ROUND((VLOOKUP($B33,'АПП+Стомат.'!$B$16:$AB$45,27,FALSE)/1000),5)</f>
        <v>2436.8997899999999</v>
      </c>
      <c r="S33" s="511">
        <f>VLOOKUP($B33,'АПП+Стомат.'!$B$16:$AB$45,22,FALSE)</f>
        <v>1734</v>
      </c>
      <c r="T33" s="512">
        <f>ROUND((VLOOKUP($B33,'АПП+Стомат.'!$B$16:$AB$45,23,FALSE)/1000),5)</f>
        <v>2143.7750999999998</v>
      </c>
      <c r="U33" s="96"/>
      <c r="V33" s="97"/>
      <c r="W33" s="554">
        <v>2412</v>
      </c>
      <c r="X33" s="559">
        <f>ROUND((VLOOKUP($B33,'АПП+Стомат.'!$B$16:$AB$45,10,FALSE)/1000),5)</f>
        <v>1666.729</v>
      </c>
      <c r="Y33" s="513">
        <f t="shared" si="1"/>
        <v>21101.5622</v>
      </c>
      <c r="Z33" s="318">
        <f>VLOOKUP(B33,'АПП+Стомат.'!$B$4:$AQ$89,42,FALSE)/1000</f>
        <v>21101.562198945918</v>
      </c>
      <c r="AA33" s="401">
        <f t="shared" si="0"/>
        <v>1.0540825314819813E-6</v>
      </c>
      <c r="AB33" s="96"/>
      <c r="AC33" s="97"/>
      <c r="AD33" s="96"/>
      <c r="AE33" s="97"/>
      <c r="AF33" s="96"/>
      <c r="AG33" s="97"/>
      <c r="AI33" s="393">
        <f t="shared" si="2"/>
        <v>8150</v>
      </c>
    </row>
    <row r="34" spans="1:35" ht="15" customHeight="1" x14ac:dyDescent="0.25">
      <c r="A34" s="5">
        <v>27</v>
      </c>
      <c r="B34" s="5">
        <v>390370</v>
      </c>
      <c r="C34" s="238" t="s">
        <v>37</v>
      </c>
      <c r="D34" s="554">
        <v>12886</v>
      </c>
      <c r="E34" s="556">
        <f>ROUND((VLOOKUP($B34,'АПП+Стомат.'!$B$16:$AB$45,6,FALSE)/1000),5)+G34+H34+J34-V34</f>
        <v>22496.819370000001</v>
      </c>
      <c r="F34" s="98"/>
      <c r="G34" s="98"/>
      <c r="H34" s="436">
        <v>246.25152</v>
      </c>
      <c r="I34" s="555">
        <v>677</v>
      </c>
      <c r="J34" s="436">
        <v>206.02387000000189</v>
      </c>
      <c r="K34" s="560">
        <v>22511</v>
      </c>
      <c r="L34" s="559">
        <f>ROUND((VLOOKUP($B34,'АПП+Стомат.'!$B$16:$AB$45,8,FALSE)/1000),5)+N34+P34+R34+T34</f>
        <v>21093.366649999996</v>
      </c>
      <c r="M34" s="511">
        <f>VLOOKUP($B34,'АПП+Стомат.'!$B$16:$AB$45,20,FALSE)</f>
        <v>2636</v>
      </c>
      <c r="N34" s="512">
        <f>ROUND((VLOOKUP($B34,'АПП+Стомат.'!$B$16:$AB$45,21,FALSE)/1000),5)</f>
        <v>7427.0333300000002</v>
      </c>
      <c r="O34" s="511">
        <f>VLOOKUP($B34,'АПП+Стомат.'!$B$16:$AB$45,24,FALSE)</f>
        <v>791</v>
      </c>
      <c r="P34" s="512">
        <f>ROUND((VLOOKUP($B34,'АПП+Стомат.'!$B$16:$AB$45,25,FALSE)/1000),5)</f>
        <v>1113.9887200000001</v>
      </c>
      <c r="Q34" s="511">
        <f>VLOOKUP($B34,'АПП+Стомат.'!$B$16:$AB$45,26,FALSE)</f>
        <v>2397</v>
      </c>
      <c r="R34" s="512">
        <f>ROUND((VLOOKUP($B34,'АПП+Стомат.'!$B$16:$AB$45,27,FALSE)/1000),5)</f>
        <v>5295.38958</v>
      </c>
      <c r="S34" s="511">
        <f>VLOOKUP($B34,'АПП+Стомат.'!$B$16:$AB$45,22,FALSE)</f>
        <v>2928</v>
      </c>
      <c r="T34" s="512">
        <f>ROUND((VLOOKUP($B34,'АПП+Стомат.'!$B$16:$AB$45,23,FALSE)/1000),5)</f>
        <v>3637.68469</v>
      </c>
      <c r="U34" s="96"/>
      <c r="V34" s="97"/>
      <c r="W34" s="554">
        <v>5048</v>
      </c>
      <c r="X34" s="559">
        <f>ROUND((VLOOKUP($B34,'АПП+Стомат.'!$B$16:$AB$45,10,FALSE)/1000),5)</f>
        <v>2827.04</v>
      </c>
      <c r="Y34" s="513">
        <f t="shared" si="1"/>
        <v>46417.226019999995</v>
      </c>
      <c r="Z34" s="318">
        <f>VLOOKUP(B34,'АПП+Стомат.'!$B$4:$AQ$89,42,FALSE)/1000</f>
        <v>45964.950622385484</v>
      </c>
      <c r="AA34" s="401">
        <f t="shared" si="0"/>
        <v>452.27539761451044</v>
      </c>
      <c r="AB34" s="96"/>
      <c r="AC34" s="97"/>
      <c r="AD34" s="96"/>
      <c r="AE34" s="97"/>
      <c r="AF34" s="96"/>
      <c r="AG34" s="97"/>
      <c r="AI34" s="393">
        <f t="shared" si="2"/>
        <v>13759</v>
      </c>
    </row>
    <row r="35" spans="1:35" ht="15" customHeight="1" x14ac:dyDescent="0.25">
      <c r="A35" s="5">
        <v>28</v>
      </c>
      <c r="B35" s="5">
        <v>390480</v>
      </c>
      <c r="C35" s="238" t="s">
        <v>96</v>
      </c>
      <c r="D35" s="554">
        <v>15860</v>
      </c>
      <c r="E35" s="556">
        <f>ROUND((VLOOKUP($B35,'АПП+Стомат.'!$B$16:$AB$45,6,FALSE)/1000),5)+G35+H35+J35-V35</f>
        <v>71147.544529999999</v>
      </c>
      <c r="F35" s="98"/>
      <c r="G35" s="98"/>
      <c r="H35" s="436">
        <v>5735.6922100000002</v>
      </c>
      <c r="I35" s="555">
        <v>147</v>
      </c>
      <c r="J35" s="436">
        <v>82.344609999999903</v>
      </c>
      <c r="K35" s="560">
        <v>103657</v>
      </c>
      <c r="L35" s="559">
        <f>ROUND((VLOOKUP($B35,'АПП+Стомат.'!$B$16:$AB$45,8,FALSE)/1000),5)+N35+P35+R35+T35</f>
        <v>80654.570559999993</v>
      </c>
      <c r="M35" s="511">
        <f>VLOOKUP($B35,'АПП+Стомат.'!$B$16:$AB$45,20,FALSE)</f>
        <v>9493</v>
      </c>
      <c r="N35" s="512">
        <f>ROUND((VLOOKUP($B35,'АПП+Стомат.'!$B$16:$AB$45,21,FALSE)/1000),5)</f>
        <v>28160.25405</v>
      </c>
      <c r="O35" s="511">
        <f>VLOOKUP($B35,'АПП+Стомат.'!$B$16:$AB$45,24,FALSE)</f>
        <v>3048</v>
      </c>
      <c r="P35" s="512">
        <f>ROUND((VLOOKUP($B35,'АПП+Стомат.'!$B$16:$AB$45,25,FALSE)/1000),5)</f>
        <v>5237.2200899999998</v>
      </c>
      <c r="Q35" s="511">
        <f>VLOOKUP($B35,'АПП+Стомат.'!$B$16:$AB$45,26,FALSE)</f>
        <v>7453</v>
      </c>
      <c r="R35" s="512">
        <f>ROUND((VLOOKUP($B35,'АПП+Стомат.'!$B$16:$AB$45,27,FALSE)/1000),5)</f>
        <v>15242.757540000001</v>
      </c>
      <c r="S35" s="511">
        <f>VLOOKUP($B35,'АПП+Стомат.'!$B$16:$AB$45,22,FALSE)</f>
        <v>12419</v>
      </c>
      <c r="T35" s="512">
        <f>ROUND((VLOOKUP($B35,'АПП+Стомат.'!$B$16:$AB$45,23,FALSE)/1000),5)</f>
        <v>16118.529189999999</v>
      </c>
      <c r="U35" s="96"/>
      <c r="V35" s="97"/>
      <c r="W35" s="554">
        <v>9257</v>
      </c>
      <c r="X35" s="559">
        <f>ROUND((VLOOKUP($B35,'АПП+Стомат.'!$B$16:$AB$45,10,FALSE)/1000),5)</f>
        <v>9775.1775600000001</v>
      </c>
      <c r="Y35" s="513">
        <f t="shared" si="1"/>
        <v>161577.29264999999</v>
      </c>
      <c r="Z35" s="318">
        <f>VLOOKUP(B35,'АПП+Стомат.'!$B$4:$AQ$89,42,FALSE)/1000</f>
        <v>155759.25582870512</v>
      </c>
      <c r="AA35" s="401">
        <f t="shared" si="0"/>
        <v>5818.036821294867</v>
      </c>
      <c r="AB35" s="96"/>
      <c r="AC35" s="97"/>
      <c r="AD35" s="101"/>
      <c r="AE35" s="217"/>
      <c r="AF35" s="96">
        <v>300</v>
      </c>
      <c r="AG35" s="97">
        <v>278.09257000000002</v>
      </c>
      <c r="AI35" s="393">
        <f t="shared" si="2"/>
        <v>71244</v>
      </c>
    </row>
    <row r="36" spans="1:35" ht="15" customHeight="1" x14ac:dyDescent="0.25">
      <c r="A36" s="5">
        <v>29</v>
      </c>
      <c r="B36" s="5">
        <v>390260</v>
      </c>
      <c r="C36" s="238" t="s">
        <v>38</v>
      </c>
      <c r="D36" s="554">
        <v>6655</v>
      </c>
      <c r="E36" s="556">
        <f>ROUND((VLOOKUP($B36,'АПП+Стомат.'!$B$16:$AB$45,6,FALSE)/1000),5)+G36+H36+J36-V36</f>
        <v>32385.03311</v>
      </c>
      <c r="F36" s="98"/>
      <c r="G36" s="98"/>
      <c r="H36" s="436">
        <v>0</v>
      </c>
      <c r="I36" s="98"/>
      <c r="J36" s="436">
        <v>0</v>
      </c>
      <c r="K36" s="560">
        <v>39259</v>
      </c>
      <c r="L36" s="559">
        <f>ROUND((VLOOKUP($B36,'АПП+Стомат.'!$B$16:$AB$45,8,FALSE)/1000),5)+N36+P36+R36+T36</f>
        <v>44288.737860000001</v>
      </c>
      <c r="M36" s="511">
        <f>VLOOKUP($B36,'АПП+Стомат.'!$B$16:$AB$45,20,FALSE)</f>
        <v>3990</v>
      </c>
      <c r="N36" s="512">
        <f>ROUND((VLOOKUP($B36,'АПП+Стомат.'!$B$16:$AB$45,21,FALSE)/1000),5)</f>
        <v>11279.77752</v>
      </c>
      <c r="O36" s="511">
        <f>VLOOKUP($B36,'АПП+Стомат.'!$B$16:$AB$45,24,FALSE)</f>
        <v>1322</v>
      </c>
      <c r="P36" s="512">
        <f>ROUND((VLOOKUP($B36,'АПП+Стомат.'!$B$16:$AB$45,25,FALSE)/1000),5)</f>
        <v>2164.7242299999998</v>
      </c>
      <c r="Q36" s="511">
        <f>VLOOKUP($B36,'АПП+Стомат.'!$B$16:$AB$45,26,FALSE)</f>
        <v>3537</v>
      </c>
      <c r="R36" s="512">
        <f>ROUND((VLOOKUP($B36,'АПП+Стомат.'!$B$16:$AB$45,27,FALSE)/1000),5)</f>
        <v>8372.3419900000008</v>
      </c>
      <c r="S36" s="511">
        <f>VLOOKUP($B36,'АПП+Стомат.'!$B$16:$AB$45,22,FALSE)</f>
        <v>5449</v>
      </c>
      <c r="T36" s="512">
        <f>ROUND((VLOOKUP($B36,'АПП+Стомат.'!$B$16:$AB$45,23,FALSE)/1000),5)</f>
        <v>6821.17436</v>
      </c>
      <c r="U36" s="96"/>
      <c r="V36" s="97"/>
      <c r="W36" s="554">
        <v>927</v>
      </c>
      <c r="X36" s="559">
        <f>ROUND((VLOOKUP($B36,'АПП+Стомат.'!$B$16:$AB$45,10,FALSE)/1000),5)</f>
        <v>4208.4559499999996</v>
      </c>
      <c r="Y36" s="513">
        <f t="shared" si="1"/>
        <v>80882.226920000001</v>
      </c>
      <c r="Z36" s="318">
        <f>VLOOKUP(B36,'АПП+Стомат.'!$B$4:$AQ$89,42,FALSE)/1000</f>
        <v>80882.226917798456</v>
      </c>
      <c r="AA36" s="401">
        <f t="shared" si="0"/>
        <v>2.2015447029843926E-6</v>
      </c>
      <c r="AB36" s="96"/>
      <c r="AC36" s="97"/>
      <c r="AD36" s="96"/>
      <c r="AE36" s="97"/>
      <c r="AF36" s="96"/>
      <c r="AG36" s="97"/>
      <c r="AI36" s="393">
        <f t="shared" si="2"/>
        <v>24961</v>
      </c>
    </row>
    <row r="37" spans="1:35" ht="15" customHeight="1" x14ac:dyDescent="0.25">
      <c r="A37" s="5">
        <v>30</v>
      </c>
      <c r="B37" s="5">
        <v>390250</v>
      </c>
      <c r="C37" s="238" t="s">
        <v>39</v>
      </c>
      <c r="D37" s="554">
        <v>7806</v>
      </c>
      <c r="E37" s="556">
        <f>ROUND((VLOOKUP($B37,'АПП+Стомат.'!$B$16:$AB$45,6,FALSE)/1000),5)+G37+H37+J37-V37</f>
        <v>24498.577949999999</v>
      </c>
      <c r="F37" s="98"/>
      <c r="G37" s="98"/>
      <c r="H37" s="436">
        <v>13.38203</v>
      </c>
      <c r="I37" s="98"/>
      <c r="J37" s="436">
        <v>0</v>
      </c>
      <c r="K37" s="560">
        <v>36362</v>
      </c>
      <c r="L37" s="559">
        <f>ROUND((VLOOKUP($B37,'АПП+Стомат.'!$B$16:$AB$45,8,FALSE)/1000),5)+N37+P37+R37+T37</f>
        <v>33486.432410000001</v>
      </c>
      <c r="M37" s="511">
        <f>VLOOKUP($B37,'АПП+Стомат.'!$B$16:$AB$45,20,FALSE)</f>
        <v>2093</v>
      </c>
      <c r="N37" s="512">
        <f>ROUND((VLOOKUP($B37,'АПП+Стомат.'!$B$16:$AB$45,21,FALSE)/1000),5)</f>
        <v>6459.7092599999996</v>
      </c>
      <c r="O37" s="511">
        <f>VLOOKUP($B37,'АПП+Стомат.'!$B$16:$AB$45,24,FALSE)</f>
        <v>867</v>
      </c>
      <c r="P37" s="512">
        <f>ROUND((VLOOKUP($B37,'АПП+Стомат.'!$B$16:$AB$45,25,FALSE)/1000),5)</f>
        <v>1155.03793</v>
      </c>
      <c r="Q37" s="511">
        <f>VLOOKUP($B37,'АПП+Стомат.'!$B$16:$AB$45,26,FALSE)</f>
        <v>2539</v>
      </c>
      <c r="R37" s="512">
        <f>ROUND((VLOOKUP($B37,'АПП+Стомат.'!$B$16:$AB$45,27,FALSE)/1000),5)</f>
        <v>5754.3394200000002</v>
      </c>
      <c r="S37" s="511">
        <f>VLOOKUP($B37,'АПП+Стомат.'!$B$16:$AB$45,22,FALSE)</f>
        <v>2669</v>
      </c>
      <c r="T37" s="512">
        <f>ROUND((VLOOKUP($B37,'АПП+Стомат.'!$B$16:$AB$45,23,FALSE)/1000),5)</f>
        <v>3288.5664099999999</v>
      </c>
      <c r="U37" s="96"/>
      <c r="V37" s="97"/>
      <c r="W37" s="554">
        <v>1810</v>
      </c>
      <c r="X37" s="559">
        <f>ROUND((VLOOKUP($B37,'АПП+Стомат.'!$B$16:$AB$45,10,FALSE)/1000),5)</f>
        <v>3327.8939999999998</v>
      </c>
      <c r="Y37" s="513">
        <f t="shared" si="1"/>
        <v>61312.90436</v>
      </c>
      <c r="Z37" s="318">
        <f>VLOOKUP(B37,'АПП+Стомат.'!$B$4:$AQ$89,42,FALSE)/1000</f>
        <v>61299.522328061015</v>
      </c>
      <c r="AA37" s="401">
        <f t="shared" si="0"/>
        <v>13.382031938985165</v>
      </c>
      <c r="AB37" s="96"/>
      <c r="AC37" s="97"/>
      <c r="AD37" s="96"/>
      <c r="AE37" s="97"/>
      <c r="AF37" s="96"/>
      <c r="AG37" s="97"/>
      <c r="AI37" s="393">
        <f t="shared" si="2"/>
        <v>28194</v>
      </c>
    </row>
    <row r="38" spans="1:35" ht="15" customHeight="1" x14ac:dyDescent="0.25">
      <c r="A38" s="5">
        <v>31</v>
      </c>
      <c r="B38" s="5">
        <v>390300</v>
      </c>
      <c r="C38" s="238" t="s">
        <v>40</v>
      </c>
      <c r="D38" s="554">
        <v>7551</v>
      </c>
      <c r="E38" s="556">
        <f>ROUND((VLOOKUP($B38,'АПП+Стомат.'!$B$16:$AB$45,6,FALSE)/1000),5)+G38+H38+J38-V38</f>
        <v>21876.2729</v>
      </c>
      <c r="F38" s="98"/>
      <c r="G38" s="98"/>
      <c r="H38" s="436">
        <v>189.81888000000001</v>
      </c>
      <c r="I38" s="98"/>
      <c r="J38" s="436">
        <v>0</v>
      </c>
      <c r="K38" s="560">
        <v>41158</v>
      </c>
      <c r="L38" s="559">
        <f>ROUND((VLOOKUP($B38,'АПП+Стомат.'!$B$16:$AB$45,8,FALSE)/1000),5)+N38+P38+R38+T38</f>
        <v>37572.166340000003</v>
      </c>
      <c r="M38" s="511">
        <f>VLOOKUP($B38,'АПП+Стомат.'!$B$16:$AB$45,20,FALSE)</f>
        <v>3106</v>
      </c>
      <c r="N38" s="512">
        <f>ROUND((VLOOKUP($B38,'АПП+Стомат.'!$B$16:$AB$45,21,FALSE)/1000),5)</f>
        <v>9570.6799300000002</v>
      </c>
      <c r="O38" s="511">
        <f>VLOOKUP($B38,'АПП+Стомат.'!$B$16:$AB$45,24,FALSE)</f>
        <v>904</v>
      </c>
      <c r="P38" s="512">
        <f>ROUND((VLOOKUP($B38,'АПП+Стомат.'!$B$16:$AB$45,25,FALSE)/1000),5)</f>
        <v>1689.8019999999999</v>
      </c>
      <c r="Q38" s="511">
        <f>VLOOKUP($B38,'АПП+Стомат.'!$B$16:$AB$45,26,FALSE)</f>
        <v>2347</v>
      </c>
      <c r="R38" s="512">
        <f>ROUND((VLOOKUP($B38,'АПП+Стомат.'!$B$16:$AB$45,27,FALSE)/1000),5)</f>
        <v>3763.7926400000001</v>
      </c>
      <c r="S38" s="511">
        <f>VLOOKUP($B38,'АПП+Стомат.'!$B$16:$AB$45,22,FALSE)</f>
        <v>3764</v>
      </c>
      <c r="T38" s="512">
        <f>ROUND((VLOOKUP($B38,'АПП+Стомат.'!$B$16:$AB$45,23,FALSE)/1000),5)</f>
        <v>4382.8056699999997</v>
      </c>
      <c r="U38" s="96"/>
      <c r="V38" s="97"/>
      <c r="W38" s="554">
        <v>5946</v>
      </c>
      <c r="X38" s="559">
        <f>ROUND((VLOOKUP($B38,'АПП+Стомат.'!$B$16:$AB$45,10,FALSE)/1000),5)</f>
        <v>3087.2060000000001</v>
      </c>
      <c r="Y38" s="513">
        <f t="shared" si="1"/>
        <v>62535.645240000005</v>
      </c>
      <c r="Z38" s="318">
        <f>VLOOKUP(B38,'АПП+Стомат.'!$B$4:$AQ$89,42,FALSE)/1000</f>
        <v>62345.826353975594</v>
      </c>
      <c r="AA38" s="401">
        <f t="shared" si="0"/>
        <v>189.81888602441177</v>
      </c>
      <c r="AB38" s="96"/>
      <c r="AC38" s="97"/>
      <c r="AD38" s="96"/>
      <c r="AE38" s="97"/>
      <c r="AF38" s="96"/>
      <c r="AG38" s="97"/>
      <c r="AI38" s="393">
        <f t="shared" si="2"/>
        <v>31037</v>
      </c>
    </row>
    <row r="39" spans="1:35" ht="15" customHeight="1" x14ac:dyDescent="0.25">
      <c r="A39" s="5">
        <v>32</v>
      </c>
      <c r="B39" s="5">
        <v>390310</v>
      </c>
      <c r="C39" s="238" t="s">
        <v>117</v>
      </c>
      <c r="D39" s="554">
        <v>7624</v>
      </c>
      <c r="E39" s="556">
        <f>ROUND((VLOOKUP($B39,'АПП+Стомат.'!$B$16:$AB$45,6,FALSE)/1000),5)+G39+H39+J39-V39</f>
        <v>31013.36808</v>
      </c>
      <c r="F39" s="98"/>
      <c r="G39" s="98"/>
      <c r="H39" s="436">
        <v>218.0352</v>
      </c>
      <c r="I39" s="98"/>
      <c r="J39" s="436">
        <v>0</v>
      </c>
      <c r="K39" s="560">
        <v>55068</v>
      </c>
      <c r="L39" s="559">
        <f>ROUND((VLOOKUP($B39,'АПП+Стомат.'!$B$16:$AB$45,8,FALSE)/1000),5)+N39+P39+R39+T39</f>
        <v>45193.249609999999</v>
      </c>
      <c r="M39" s="511">
        <f>VLOOKUP($B39,'АПП+Стомат.'!$B$16:$AB$45,20,FALSE)</f>
        <v>4299</v>
      </c>
      <c r="N39" s="512">
        <f>ROUND((VLOOKUP($B39,'АПП+Стомат.'!$B$16:$AB$45,21,FALSE)/1000),5)</f>
        <v>12842.90206</v>
      </c>
      <c r="O39" s="511">
        <f>VLOOKUP($B39,'АПП+Стомат.'!$B$16:$AB$45,24,FALSE)</f>
        <v>1285</v>
      </c>
      <c r="P39" s="512">
        <f>ROUND((VLOOKUP($B39,'АПП+Стомат.'!$B$16:$AB$45,25,FALSE)/1000),5)</f>
        <v>1877.2867000000001</v>
      </c>
      <c r="Q39" s="511">
        <f>VLOOKUP($B39,'АПП+Стомат.'!$B$16:$AB$45,26,FALSE)</f>
        <v>3563</v>
      </c>
      <c r="R39" s="512">
        <f>ROUND((VLOOKUP($B39,'АПП+Стомат.'!$B$16:$AB$45,27,FALSE)/1000),5)</f>
        <v>7819.65031</v>
      </c>
      <c r="S39" s="511">
        <f>VLOOKUP($B39,'АПП+Стомат.'!$B$16:$AB$45,22,FALSE)</f>
        <v>5114</v>
      </c>
      <c r="T39" s="512">
        <f>ROUND((VLOOKUP($B39,'АПП+Стомат.'!$B$16:$AB$45,23,FALSE)/1000),5)</f>
        <v>6411.3819199999998</v>
      </c>
      <c r="U39" s="96"/>
      <c r="V39" s="97"/>
      <c r="W39" s="554">
        <v>5739</v>
      </c>
      <c r="X39" s="559">
        <f>ROUND((VLOOKUP($B39,'АПП+Стомат.'!$B$16:$AB$45,10,FALSE)/1000),5)</f>
        <v>4481.2479999999996</v>
      </c>
      <c r="Y39" s="513">
        <f t="shared" si="1"/>
        <v>80687.865690000006</v>
      </c>
      <c r="Z39" s="318">
        <f>VLOOKUP(B39,'АПП+Стомат.'!$B$4:$AQ$89,42,FALSE)/1000</f>
        <v>80469.830492135836</v>
      </c>
      <c r="AA39" s="401">
        <f t="shared" si="0"/>
        <v>218.03519786417019</v>
      </c>
      <c r="AB39" s="96"/>
      <c r="AC39" s="97"/>
      <c r="AD39" s="101"/>
      <c r="AE39" s="217"/>
      <c r="AF39" s="96"/>
      <c r="AG39" s="97"/>
      <c r="AI39" s="393">
        <f t="shared" si="2"/>
        <v>40807</v>
      </c>
    </row>
    <row r="40" spans="1:35" ht="15" customHeight="1" x14ac:dyDescent="0.25">
      <c r="A40" s="5">
        <v>33</v>
      </c>
      <c r="B40" s="5">
        <v>390320</v>
      </c>
      <c r="C40" s="238" t="s">
        <v>102</v>
      </c>
      <c r="D40" s="554">
        <v>6338</v>
      </c>
      <c r="E40" s="556">
        <f>ROUND((VLOOKUP($B40,'АПП+Стомат.'!$B$16:$AB$45,6,FALSE)/1000),5)+G40+H40+J40-V40</f>
        <v>28683.041940000003</v>
      </c>
      <c r="F40" s="98"/>
      <c r="G40" s="98"/>
      <c r="H40" s="436">
        <v>724.59871999999996</v>
      </c>
      <c r="I40" s="98"/>
      <c r="J40" s="436">
        <v>0</v>
      </c>
      <c r="K40" s="560">
        <v>53733</v>
      </c>
      <c r="L40" s="559">
        <f>ROUND((VLOOKUP($B40,'АПП+Стомат.'!$B$16:$AB$45,8,FALSE)/1000),5)+N40+P40+R40+T40</f>
        <v>45326.374069999998</v>
      </c>
      <c r="M40" s="511">
        <f>VLOOKUP($B40,'АПП+Стомат.'!$B$16:$AB$45,20,FALSE)</f>
        <v>4125</v>
      </c>
      <c r="N40" s="512">
        <f>ROUND((VLOOKUP($B40,'АПП+Стомат.'!$B$16:$AB$45,21,FALSE)/1000),5)</f>
        <v>12466.347400000001</v>
      </c>
      <c r="O40" s="511">
        <f>VLOOKUP($B40,'АПП+Стомат.'!$B$16:$AB$45,24,FALSE)</f>
        <v>1481</v>
      </c>
      <c r="P40" s="512">
        <f>ROUND((VLOOKUP($B40,'АПП+Стомат.'!$B$16:$AB$45,25,FALSE)/1000),5)</f>
        <v>1982.2894799999999</v>
      </c>
      <c r="Q40" s="511">
        <f>VLOOKUP($B40,'АПП+Стомат.'!$B$16:$AB$45,26,FALSE)</f>
        <v>3561</v>
      </c>
      <c r="R40" s="512">
        <f>ROUND((VLOOKUP($B40,'АПП+Стомат.'!$B$16:$AB$45,27,FALSE)/1000),5)</f>
        <v>7054.1326300000001</v>
      </c>
      <c r="S40" s="511">
        <f>VLOOKUP($B40,'АПП+Стомат.'!$B$16:$AB$45,22,FALSE)</f>
        <v>4336</v>
      </c>
      <c r="T40" s="512">
        <f>ROUND((VLOOKUP($B40,'АПП+Стомат.'!$B$16:$AB$45,23,FALSE)/1000),5)</f>
        <v>5126.9589299999998</v>
      </c>
      <c r="U40" s="96"/>
      <c r="V40" s="97"/>
      <c r="W40" s="554">
        <v>956</v>
      </c>
      <c r="X40" s="559">
        <f>ROUND((VLOOKUP($B40,'АПП+Стомат.'!$B$16:$AB$45,10,FALSE)/1000),5)</f>
        <v>4484.0309999999999</v>
      </c>
      <c r="Y40" s="513">
        <f t="shared" ref="Y40:Y71" si="3">E40+L40+X40+V40</f>
        <v>78493.447010000004</v>
      </c>
      <c r="Z40" s="318">
        <f>VLOOKUP(B40,'АПП+Стомат.'!$B$4:$AQ$89,42,FALSE)/1000</f>
        <v>77768.848290621085</v>
      </c>
      <c r="AA40" s="401">
        <f t="shared" ref="AA40:AA71" si="4">Y40-Z40</f>
        <v>724.59871937891876</v>
      </c>
      <c r="AB40" s="96"/>
      <c r="AC40" s="97"/>
      <c r="AD40" s="96"/>
      <c r="AE40" s="97"/>
      <c r="AF40" s="96"/>
      <c r="AG40" s="97"/>
      <c r="AI40" s="393">
        <f t="shared" si="2"/>
        <v>40230</v>
      </c>
    </row>
    <row r="41" spans="1:35" ht="15" customHeight="1" x14ac:dyDescent="0.25">
      <c r="A41" s="5">
        <v>34</v>
      </c>
      <c r="B41" s="5">
        <v>390180</v>
      </c>
      <c r="C41" s="238" t="s">
        <v>262</v>
      </c>
      <c r="D41" s="554">
        <v>15022</v>
      </c>
      <c r="E41" s="556">
        <f>ROUND((VLOOKUP($B41,'АПП+Стомат.'!$B$16:$AB$45,6,FALSE)/1000),5)+G41+H41+J41-V41</f>
        <v>49975.287370000005</v>
      </c>
      <c r="F41" s="98"/>
      <c r="G41" s="98"/>
      <c r="H41" s="436">
        <v>1097.21444</v>
      </c>
      <c r="I41" s="98"/>
      <c r="J41" s="436">
        <v>0</v>
      </c>
      <c r="K41" s="560">
        <v>87434</v>
      </c>
      <c r="L41" s="559">
        <f>ROUND((VLOOKUP($B41,'АПП+Стомат.'!$B$16:$AB$45,8,FALSE)/1000),5)+N41+P41+R41+T41</f>
        <v>57615.876169999996</v>
      </c>
      <c r="M41" s="511">
        <f>VLOOKUP($B41,'АПП+Стомат.'!$B$16:$AB$45,20,FALSE)</f>
        <v>6397</v>
      </c>
      <c r="N41" s="512">
        <f>ROUND((VLOOKUP($B41,'АПП+Стомат.'!$B$16:$AB$45,21,FALSE)/1000),5)</f>
        <v>19273.525969999999</v>
      </c>
      <c r="O41" s="511">
        <f>VLOOKUP($B41,'АПП+Стомат.'!$B$16:$AB$45,24,FALSE)</f>
        <v>2272</v>
      </c>
      <c r="P41" s="512">
        <f>ROUND((VLOOKUP($B41,'АПП+Стомат.'!$B$16:$AB$45,25,FALSE)/1000),5)</f>
        <v>3057.5595899999998</v>
      </c>
      <c r="Q41" s="511">
        <f>VLOOKUP($B41,'АПП+Стомат.'!$B$16:$AB$45,26,FALSE)</f>
        <v>5452</v>
      </c>
      <c r="R41" s="512">
        <f>ROUND((VLOOKUP($B41,'АПП+Стомат.'!$B$16:$AB$45,27,FALSE)/1000),5)</f>
        <v>12034.614939999999</v>
      </c>
      <c r="S41" s="511">
        <f>VLOOKUP($B41,'АПП+Стомат.'!$B$16:$AB$45,22,FALSE)</f>
        <v>9434</v>
      </c>
      <c r="T41" s="512">
        <f>ROUND((VLOOKUP($B41,'АПП+Стомат.'!$B$16:$AB$45,23,FALSE)/1000),5)</f>
        <v>11886.036469999999</v>
      </c>
      <c r="U41" s="96"/>
      <c r="V41" s="97"/>
      <c r="W41" s="554">
        <v>11826</v>
      </c>
      <c r="X41" s="559">
        <f>ROUND((VLOOKUP($B41,'АПП+Стомат.'!$B$16:$AB$45,10,FALSE)/1000),5)</f>
        <v>7660.973</v>
      </c>
      <c r="Y41" s="513">
        <f t="shared" si="3"/>
        <v>115252.13654000001</v>
      </c>
      <c r="Z41" s="318">
        <f>VLOOKUP(B41,'АПП+Стомат.'!$B$4:$AQ$89,42,FALSE)/1000</f>
        <v>114154.92209783537</v>
      </c>
      <c r="AA41" s="401">
        <f t="shared" si="4"/>
        <v>1097.2144421646371</v>
      </c>
      <c r="AB41" s="96"/>
      <c r="AC41" s="97"/>
      <c r="AD41" s="96"/>
      <c r="AE41" s="97"/>
      <c r="AF41" s="96"/>
      <c r="AG41" s="97"/>
      <c r="AI41" s="393">
        <f t="shared" si="2"/>
        <v>63879</v>
      </c>
    </row>
    <row r="42" spans="1:35" ht="15" customHeight="1" x14ac:dyDescent="0.25">
      <c r="A42" s="5">
        <v>35</v>
      </c>
      <c r="B42" s="5">
        <v>390270</v>
      </c>
      <c r="C42" s="238" t="s">
        <v>100</v>
      </c>
      <c r="D42" s="554">
        <v>11237</v>
      </c>
      <c r="E42" s="556">
        <f>ROUND((VLOOKUP($B42,'АПП+Стомат.'!$B$16:$AB$45,6,FALSE)/1000),5)+G42+H42+J42-V42</f>
        <v>33769.481650000002</v>
      </c>
      <c r="F42" s="98"/>
      <c r="G42" s="98"/>
      <c r="H42" s="436">
        <v>1314.3048999999999</v>
      </c>
      <c r="I42" s="98"/>
      <c r="J42" s="436">
        <v>0</v>
      </c>
      <c r="K42" s="560">
        <v>40297</v>
      </c>
      <c r="L42" s="559">
        <f>ROUND((VLOOKUP($B42,'АПП+Стомат.'!$B$16:$AB$45,8,FALSE)/1000),5)+N42+P42+R42+T42</f>
        <v>45854.05386</v>
      </c>
      <c r="M42" s="511">
        <f>VLOOKUP($B42,'АПП+Стомат.'!$B$16:$AB$45,20,FALSE)</f>
        <v>3838</v>
      </c>
      <c r="N42" s="512">
        <f>ROUND((VLOOKUP($B42,'АПП+Стомат.'!$B$16:$AB$45,21,FALSE)/1000),5)</f>
        <v>11524.75526</v>
      </c>
      <c r="O42" s="511">
        <f>VLOOKUP($B42,'АПП+Стомат.'!$B$16:$AB$45,24,FALSE)</f>
        <v>1049</v>
      </c>
      <c r="P42" s="512">
        <f>ROUND((VLOOKUP($B42,'АПП+Стомат.'!$B$16:$AB$45,25,FALSE)/1000),5)</f>
        <v>1580.0604900000001</v>
      </c>
      <c r="Q42" s="511">
        <f>VLOOKUP($B42,'АПП+Стомат.'!$B$16:$AB$45,26,FALSE)</f>
        <v>3260</v>
      </c>
      <c r="R42" s="512">
        <f>ROUND((VLOOKUP($B42,'АПП+Стомат.'!$B$16:$AB$45,27,FALSE)/1000),5)</f>
        <v>6817.31394</v>
      </c>
      <c r="S42" s="511">
        <f>VLOOKUP($B42,'АПП+Стомат.'!$B$16:$AB$45,22,FALSE)</f>
        <v>5009</v>
      </c>
      <c r="T42" s="512">
        <f>ROUND((VLOOKUP($B42,'АПП+Стомат.'!$B$16:$AB$45,23,FALSE)/1000),5)</f>
        <v>6157.4459200000001</v>
      </c>
      <c r="U42" s="96"/>
      <c r="V42" s="97"/>
      <c r="W42" s="554">
        <v>2530</v>
      </c>
      <c r="X42" s="559">
        <f>ROUND((VLOOKUP($B42,'АПП+Стомат.'!$B$16:$AB$45,10,FALSE)/1000),5)</f>
        <v>4338.6440000000002</v>
      </c>
      <c r="Y42" s="513">
        <f t="shared" si="3"/>
        <v>83962.179510000002</v>
      </c>
      <c r="Z42" s="318">
        <f>VLOOKUP(B42,'АПП+Стомат.'!$B$4:$AQ$89,42,FALSE)/1000</f>
        <v>82647.874610784958</v>
      </c>
      <c r="AA42" s="401">
        <f t="shared" si="4"/>
        <v>1314.3048992150434</v>
      </c>
      <c r="AB42" s="96"/>
      <c r="AC42" s="97"/>
      <c r="AD42" s="96"/>
      <c r="AE42" s="97"/>
      <c r="AF42" s="96"/>
      <c r="AG42" s="97"/>
      <c r="AI42" s="393">
        <f t="shared" si="2"/>
        <v>27141</v>
      </c>
    </row>
    <row r="43" spans="1:35" ht="15" customHeight="1" x14ac:dyDescent="0.25">
      <c r="A43" s="5">
        <v>36</v>
      </c>
      <c r="B43" s="5">
        <v>390190</v>
      </c>
      <c r="C43" s="238" t="s">
        <v>45</v>
      </c>
      <c r="D43" s="554">
        <v>20993</v>
      </c>
      <c r="E43" s="556">
        <f>ROUND((VLOOKUP($B43,'АПП+Стомат.'!$B$16:$AB$45,6,FALSE)/1000),5)+G43+H43+J43-V43</f>
        <v>80240.360750000007</v>
      </c>
      <c r="F43" s="98"/>
      <c r="G43" s="98"/>
      <c r="H43" s="436">
        <v>14512.844999999999</v>
      </c>
      <c r="I43" s="555">
        <v>45</v>
      </c>
      <c r="J43" s="436">
        <v>26.510240000000007</v>
      </c>
      <c r="K43" s="560">
        <v>102858</v>
      </c>
      <c r="L43" s="559">
        <f>ROUND((VLOOKUP($B43,'АПП+Стомат.'!$B$16:$AB$45,8,FALSE)/1000),5)+N43+P43+R43+T43</f>
        <v>70771.713260000004</v>
      </c>
      <c r="M43" s="511">
        <f>VLOOKUP($B43,'АПП+Стомат.'!$B$16:$AB$45,20,FALSE)</f>
        <v>9847</v>
      </c>
      <c r="N43" s="512">
        <f>ROUND((VLOOKUP($B43,'АПП+Стомат.'!$B$16:$AB$45,21,FALSE)/1000),5)</f>
        <v>29181.187699999999</v>
      </c>
      <c r="O43" s="511">
        <f>VLOOKUP($B43,'АПП+Стомат.'!$B$16:$AB$45,24,FALSE)</f>
        <v>2575</v>
      </c>
      <c r="P43" s="512">
        <f>ROUND((VLOOKUP($B43,'АПП+Стомат.'!$B$16:$AB$45,25,FALSE)/1000),5)</f>
        <v>4241.2731700000004</v>
      </c>
      <c r="Q43" s="511">
        <f>VLOOKUP($B43,'АПП+Стомат.'!$B$16:$AB$45,26,FALSE)</f>
        <v>6995</v>
      </c>
      <c r="R43" s="512">
        <f>ROUND((VLOOKUP($B43,'АПП+Стомат.'!$B$16:$AB$45,27,FALSE)/1000),5)</f>
        <v>15622.6535</v>
      </c>
      <c r="S43" s="511">
        <f>VLOOKUP($B43,'АПП+Стомат.'!$B$16:$AB$45,22,FALSE)</f>
        <v>6980</v>
      </c>
      <c r="T43" s="512">
        <f>ROUND((VLOOKUP($B43,'АПП+Стомат.'!$B$16:$AB$45,23,FALSE)/1000),5)</f>
        <v>9270.9266100000004</v>
      </c>
      <c r="U43" s="96"/>
      <c r="V43" s="97"/>
      <c r="W43" s="554">
        <v>10599</v>
      </c>
      <c r="X43" s="559">
        <f>ROUND((VLOOKUP($B43,'АПП+Стомат.'!$B$16:$AB$45,10,FALSE)/1000),5)</f>
        <v>9427.1779999999999</v>
      </c>
      <c r="Y43" s="513">
        <f t="shared" si="3"/>
        <v>160439.25201</v>
      </c>
      <c r="Z43" s="318">
        <f>VLOOKUP(B43,'АПП+Стомат.'!$B$4:$AQ$89,42,FALSE)/1000</f>
        <v>155552.91456569335</v>
      </c>
      <c r="AA43" s="401">
        <f t="shared" si="4"/>
        <v>4886.3374443066423</v>
      </c>
      <c r="AB43" s="96"/>
      <c r="AC43" s="97"/>
      <c r="AD43" s="101"/>
      <c r="AE43" s="217"/>
      <c r="AF43" s="96">
        <v>300</v>
      </c>
      <c r="AG43" s="97">
        <v>278.09257000000002</v>
      </c>
      <c r="AI43" s="393">
        <f t="shared" si="2"/>
        <v>76461</v>
      </c>
    </row>
    <row r="44" spans="1:35" ht="15" customHeight="1" x14ac:dyDescent="0.25">
      <c r="A44" s="5">
        <v>37</v>
      </c>
      <c r="B44" s="5">
        <v>390280</v>
      </c>
      <c r="C44" s="238" t="s">
        <v>101</v>
      </c>
      <c r="D44" s="554">
        <v>22689</v>
      </c>
      <c r="E44" s="556">
        <f>ROUND((VLOOKUP($B44,'АПП+Стомат.'!$B$16:$AB$45,6,FALSE)/1000),5)+G44+H44+J44-V44</f>
        <v>87809.103270000007</v>
      </c>
      <c r="F44" s="98"/>
      <c r="G44" s="98"/>
      <c r="H44" s="436">
        <v>4181.5177899999999</v>
      </c>
      <c r="I44" s="555">
        <v>20</v>
      </c>
      <c r="J44" s="436">
        <v>7.6841999999999988</v>
      </c>
      <c r="K44" s="560">
        <v>86873</v>
      </c>
      <c r="L44" s="559">
        <f>ROUND((VLOOKUP($B44,'АПП+Стомат.'!$B$16:$AB$45,8,FALSE)/1000),5)+N44+P44+R44+T44</f>
        <v>86810.240420000002</v>
      </c>
      <c r="M44" s="511">
        <f>VLOOKUP($B44,'АПП+Стомат.'!$B$16:$AB$45,20,FALSE)</f>
        <v>9414</v>
      </c>
      <c r="N44" s="512">
        <f>ROUND((VLOOKUP($B44,'АПП+Стомат.'!$B$16:$AB$45,21,FALSE)/1000),5)</f>
        <v>28470.794900000001</v>
      </c>
      <c r="O44" s="511">
        <f>VLOOKUP($B44,'АПП+Стомат.'!$B$16:$AB$45,24,FALSE)</f>
        <v>2249</v>
      </c>
      <c r="P44" s="512">
        <f>ROUND((VLOOKUP($B44,'АПП+Стомат.'!$B$16:$AB$45,25,FALSE)/1000),5)</f>
        <v>2712.9180700000002</v>
      </c>
      <c r="Q44" s="511">
        <f>VLOOKUP($B44,'АПП+Стомат.'!$B$16:$AB$45,26,FALSE)</f>
        <v>9476</v>
      </c>
      <c r="R44" s="512">
        <f>ROUND((VLOOKUP($B44,'АПП+Стомат.'!$B$16:$AB$45,27,FALSE)/1000),5)</f>
        <v>19863.11393</v>
      </c>
      <c r="S44" s="511">
        <f>VLOOKUP($B44,'АПП+Стомат.'!$B$16:$AB$45,22,FALSE)</f>
        <v>7610</v>
      </c>
      <c r="T44" s="512">
        <f>ROUND((VLOOKUP($B44,'АПП+Стомат.'!$B$16:$AB$45,23,FALSE)/1000),5)</f>
        <v>10441.92657</v>
      </c>
      <c r="U44" s="96"/>
      <c r="V44" s="97"/>
      <c r="W44" s="554">
        <v>9937</v>
      </c>
      <c r="X44" s="559">
        <f>ROUND((VLOOKUP($B44,'АПП+Стомат.'!$B$16:$AB$45,10,FALSE)/1000),5)</f>
        <v>11187.121999999999</v>
      </c>
      <c r="Y44" s="513">
        <f t="shared" si="3"/>
        <v>185806.46569000001</v>
      </c>
      <c r="Z44" s="318">
        <f>VLOOKUP(B44,'АПП+Стомат.'!$B$4:$AQ$89,42,FALSE)/1000</f>
        <v>181617.26369185591</v>
      </c>
      <c r="AA44" s="401">
        <f t="shared" si="4"/>
        <v>4189.2019981440972</v>
      </c>
      <c r="AB44" s="96"/>
      <c r="AC44" s="97"/>
      <c r="AD44" s="96"/>
      <c r="AE44" s="97"/>
      <c r="AF44" s="96">
        <v>300</v>
      </c>
      <c r="AG44" s="97">
        <v>278.09257000000002</v>
      </c>
      <c r="AI44" s="393">
        <f t="shared" si="2"/>
        <v>58124</v>
      </c>
    </row>
    <row r="45" spans="1:35" ht="15" customHeight="1" x14ac:dyDescent="0.25">
      <c r="A45" s="5">
        <v>38</v>
      </c>
      <c r="B45" s="5">
        <v>390600</v>
      </c>
      <c r="C45" s="238" t="s">
        <v>118</v>
      </c>
      <c r="D45" s="554">
        <v>1738</v>
      </c>
      <c r="E45" s="556">
        <f>ROUND((VLOOKUP($B45,'АПП+Стомат.'!$B$16:$AB$45,6,FALSE)/1000),5)+G45+H45+J45-V45</f>
        <v>20714.364000000001</v>
      </c>
      <c r="F45" s="98"/>
      <c r="G45" s="98"/>
      <c r="H45" s="436">
        <v>1473.1006200000002</v>
      </c>
      <c r="I45" s="98"/>
      <c r="J45" s="436">
        <v>0</v>
      </c>
      <c r="K45" s="560">
        <v>58899</v>
      </c>
      <c r="L45" s="559">
        <f>ROUND((VLOOKUP($B45,'АПП+Стомат.'!$B$16:$AB$45,8,FALSE)/1000),5)+N45+P45+R45+T45</f>
        <v>3706.9734800000001</v>
      </c>
      <c r="M45" s="511">
        <f>VLOOKUP($B45,'АПП+Стомат.'!$B$16:$AB$45,20,FALSE)</f>
        <v>70</v>
      </c>
      <c r="N45" s="512">
        <f>ROUND((VLOOKUP($B45,'АПП+Стомат.'!$B$16:$AB$45,21,FALSE)/1000),5)</f>
        <v>159.46976000000001</v>
      </c>
      <c r="O45" s="511">
        <f>VLOOKUP($B45,'АПП+Стомат.'!$B$16:$AB$45,24,FALSE)</f>
        <v>38</v>
      </c>
      <c r="P45" s="512">
        <f>ROUND((VLOOKUP($B45,'АПП+Стомат.'!$B$16:$AB$45,25,FALSE)/1000),5)</f>
        <v>55.081330000000001</v>
      </c>
      <c r="Q45" s="511">
        <f>VLOOKUP($B45,'АПП+Стомат.'!$B$16:$AB$45,26,FALSE)</f>
        <v>31</v>
      </c>
      <c r="R45" s="512">
        <f>ROUND((VLOOKUP($B45,'АПП+Стомат.'!$B$16:$AB$45,27,FALSE)/1000),5)</f>
        <v>38.500120000000003</v>
      </c>
      <c r="S45" s="511">
        <f>VLOOKUP($B45,'АПП+Стомат.'!$B$16:$AB$45,22,FALSE)</f>
        <v>0</v>
      </c>
      <c r="T45" s="512">
        <f>ROUND((VLOOKUP($B45,'АПП+Стомат.'!$B$16:$AB$45,23,FALSE)/1000),5)</f>
        <v>0</v>
      </c>
      <c r="U45" s="96"/>
      <c r="V45" s="97"/>
      <c r="W45" s="554">
        <v>0</v>
      </c>
      <c r="X45" s="559">
        <f>ROUND((VLOOKUP($B45,'АПП+Стомат.'!$B$16:$AB$45,10,FALSE)/1000),5)</f>
        <v>3741.098</v>
      </c>
      <c r="Y45" s="513">
        <f t="shared" si="3"/>
        <v>28162.43548</v>
      </c>
      <c r="Z45" s="318">
        <f>VLOOKUP(B45,'АПП+Стомат.'!$B$4:$AQ$89,42,FALSE)/1000</f>
        <v>26689.334862047595</v>
      </c>
      <c r="AA45" s="401">
        <f t="shared" si="4"/>
        <v>1473.1006179524047</v>
      </c>
      <c r="AB45" s="96"/>
      <c r="AC45" s="97"/>
      <c r="AD45" s="96"/>
      <c r="AE45" s="97"/>
      <c r="AF45" s="96"/>
      <c r="AG45" s="97"/>
      <c r="AI45" s="393">
        <f t="shared" si="2"/>
        <v>58760</v>
      </c>
    </row>
    <row r="46" spans="1:35" ht="15" customHeight="1" x14ac:dyDescent="0.25">
      <c r="A46" s="5">
        <v>39</v>
      </c>
      <c r="B46" s="5">
        <v>390340</v>
      </c>
      <c r="C46" s="238" t="s">
        <v>119</v>
      </c>
      <c r="D46" s="554">
        <v>5806</v>
      </c>
      <c r="E46" s="556">
        <f>ROUND((VLOOKUP($B46,'АПП+Стомат.'!$B$16:$AB$45,6,FALSE)/1000),5)+G46+H46+J46-V46</f>
        <v>31494.272550000009</v>
      </c>
      <c r="F46" s="98"/>
      <c r="G46" s="98"/>
      <c r="H46" s="436">
        <v>10230.481300000001</v>
      </c>
      <c r="I46" s="555">
        <v>3967</v>
      </c>
      <c r="J46" s="436">
        <v>1501.7242700000079</v>
      </c>
      <c r="K46" s="560">
        <v>83752</v>
      </c>
      <c r="L46" s="559">
        <f>ROUND((VLOOKUP($B46,'АПП+Стомат.'!$B$16:$AB$45,8,FALSE)/1000),5)+N46+P46+R46+T46</f>
        <v>26779.923129999999</v>
      </c>
      <c r="M46" s="511">
        <f>VLOOKUP($B46,'АПП+Стомат.'!$B$16:$AB$45,20,FALSE)</f>
        <v>4898</v>
      </c>
      <c r="N46" s="512">
        <f>ROUND((VLOOKUP($B46,'АПП+Стомат.'!$B$16:$AB$45,21,FALSE)/1000),5)</f>
        <v>13982.35829</v>
      </c>
      <c r="O46" s="511">
        <f>VLOOKUP($B46,'АПП+Стомат.'!$B$16:$AB$45,24,FALSE)</f>
        <v>1306</v>
      </c>
      <c r="P46" s="512">
        <f>ROUND((VLOOKUP($B46,'АПП+Стомат.'!$B$16:$AB$45,25,FALSE)/1000),5)</f>
        <v>1565.02854</v>
      </c>
      <c r="Q46" s="511">
        <f>VLOOKUP($B46,'АПП+Стомат.'!$B$16:$AB$45,26,FALSE)</f>
        <v>1360</v>
      </c>
      <c r="R46" s="512">
        <f>ROUND((VLOOKUP($B46,'АПП+Стомат.'!$B$16:$AB$45,27,FALSE)/1000),5)</f>
        <v>1871.42165</v>
      </c>
      <c r="S46" s="511">
        <f>VLOOKUP($B46,'АПП+Стомат.'!$B$16:$AB$45,22,FALSE)</f>
        <v>4367</v>
      </c>
      <c r="T46" s="512">
        <f>ROUND((VLOOKUP($B46,'АПП+Стомат.'!$B$16:$AB$45,23,FALSE)/1000),5)</f>
        <v>5408.6516600000004</v>
      </c>
      <c r="U46" s="96"/>
      <c r="V46" s="97"/>
      <c r="W46" s="554">
        <v>4049</v>
      </c>
      <c r="X46" s="559">
        <f>ROUND((VLOOKUP($B46,'АПП+Стомат.'!$B$16:$AB$45,10,FALSE)/1000),5)</f>
        <v>3517.105</v>
      </c>
      <c r="Y46" s="513">
        <f t="shared" si="3"/>
        <v>61791.300680000008</v>
      </c>
      <c r="Z46" s="318">
        <f>VLOOKUP(B46,'АПП+Стомат.'!$B$4:$AQ$89,42,FALSE)/1000</f>
        <v>59576.036319082399</v>
      </c>
      <c r="AA46" s="401">
        <f t="shared" si="4"/>
        <v>2215.2643609176084</v>
      </c>
      <c r="AB46" s="96"/>
      <c r="AC46" s="97"/>
      <c r="AD46" s="96"/>
      <c r="AE46" s="97"/>
      <c r="AF46" s="96"/>
      <c r="AG46" s="97"/>
      <c r="AI46" s="393">
        <f t="shared" si="2"/>
        <v>71821</v>
      </c>
    </row>
    <row r="47" spans="1:35" ht="15" customHeight="1" x14ac:dyDescent="0.25">
      <c r="A47" s="5">
        <v>40</v>
      </c>
      <c r="B47" s="5">
        <v>390782</v>
      </c>
      <c r="C47" s="160" t="s">
        <v>193</v>
      </c>
      <c r="D47" s="558">
        <f>F47</f>
        <v>842</v>
      </c>
      <c r="E47" s="557">
        <v>71400.021280000001</v>
      </c>
      <c r="F47" s="549">
        <f>VLOOKUP($B47,'АПП+Стомат.'!$B$4:$AN$91,13,FALSE)</f>
        <v>842</v>
      </c>
      <c r="G47" s="550">
        <f>VLOOKUP($B47,'АПП+Стомат.'!$B$4:$AN$91,14,FALSE)/1000</f>
        <v>71400.021280000001</v>
      </c>
      <c r="H47" s="436">
        <v>0</v>
      </c>
      <c r="I47" s="343"/>
      <c r="J47" s="436">
        <v>0</v>
      </c>
      <c r="K47" s="554">
        <v>0</v>
      </c>
      <c r="L47" s="503">
        <v>0</v>
      </c>
      <c r="M47" s="96"/>
      <c r="N47" s="97"/>
      <c r="O47" s="96"/>
      <c r="P47" s="97"/>
      <c r="Q47" s="96"/>
      <c r="R47" s="97"/>
      <c r="S47" s="96"/>
      <c r="T47" s="97"/>
      <c r="U47" s="101"/>
      <c r="V47" s="217"/>
      <c r="W47" s="554">
        <v>0</v>
      </c>
      <c r="X47" s="504">
        <v>0</v>
      </c>
      <c r="Y47" s="411">
        <f t="shared" si="3"/>
        <v>71400.021280000001</v>
      </c>
      <c r="Z47" s="318">
        <f>VLOOKUP(B47,'АПП+Стомат.'!$B$4:$AQ$89,42,FALSE)/1000</f>
        <v>71400.021280000001</v>
      </c>
      <c r="AA47" s="401">
        <f t="shared" si="4"/>
        <v>0</v>
      </c>
      <c r="AB47" s="96"/>
      <c r="AC47" s="97"/>
      <c r="AD47" s="101"/>
      <c r="AE47" s="217"/>
      <c r="AF47" s="96"/>
      <c r="AG47" s="97"/>
    </row>
    <row r="48" spans="1:35" s="236" customFormat="1" ht="15" customHeight="1" x14ac:dyDescent="0.25">
      <c r="A48" s="5">
        <v>41</v>
      </c>
      <c r="B48" s="5">
        <v>392080</v>
      </c>
      <c r="C48" s="160" t="s">
        <v>267</v>
      </c>
      <c r="D48" s="558">
        <f t="shared" ref="D48:D49" si="5">F48</f>
        <v>487</v>
      </c>
      <c r="E48" s="557">
        <v>48241.745949999997</v>
      </c>
      <c r="F48" s="549">
        <f>VLOOKUP($B48,'АПП+Стомат.'!$B$4:$AN$91,13,FALSE)</f>
        <v>487</v>
      </c>
      <c r="G48" s="550">
        <f>VLOOKUP($B48,'АПП+Стомат.'!$B$4:$AN$91,14,FALSE)/1000</f>
        <v>48241.745949999997</v>
      </c>
      <c r="H48" s="436">
        <v>0</v>
      </c>
      <c r="I48" s="343"/>
      <c r="J48" s="436">
        <v>0</v>
      </c>
      <c r="K48" s="554">
        <v>0</v>
      </c>
      <c r="L48" s="503">
        <v>0</v>
      </c>
      <c r="M48" s="96"/>
      <c r="N48" s="97"/>
      <c r="O48" s="96"/>
      <c r="P48" s="97"/>
      <c r="Q48" s="96"/>
      <c r="R48" s="97"/>
      <c r="S48" s="96"/>
      <c r="T48" s="97"/>
      <c r="U48" s="101"/>
      <c r="V48" s="217"/>
      <c r="W48" s="554">
        <v>0</v>
      </c>
      <c r="X48" s="504">
        <v>0</v>
      </c>
      <c r="Y48" s="411">
        <f t="shared" si="3"/>
        <v>48241.745949999997</v>
      </c>
      <c r="Z48" s="318">
        <f>VLOOKUP(B48,'АПП+Стомат.'!$B$4:$AQ$89,42,FALSE)/1000</f>
        <v>48241.745949999997</v>
      </c>
      <c r="AA48" s="401">
        <f t="shared" si="4"/>
        <v>0</v>
      </c>
      <c r="AB48" s="96"/>
      <c r="AC48" s="97"/>
      <c r="AD48" s="96"/>
      <c r="AE48" s="97"/>
      <c r="AF48" s="96"/>
      <c r="AG48" s="97"/>
    </row>
    <row r="49" spans="1:33" s="236" customFormat="1" ht="15" customHeight="1" x14ac:dyDescent="0.25">
      <c r="A49" s="5">
        <v>42</v>
      </c>
      <c r="B49" s="5">
        <v>392160</v>
      </c>
      <c r="C49" s="160" t="s">
        <v>195</v>
      </c>
      <c r="D49" s="558">
        <f t="shared" si="5"/>
        <v>2801</v>
      </c>
      <c r="E49" s="557">
        <v>252727.51464999997</v>
      </c>
      <c r="F49" s="549">
        <f>VLOOKUP($B49,'АПП+Стомат.'!$B$4:$AN$91,13,FALSE)</f>
        <v>2801</v>
      </c>
      <c r="G49" s="550">
        <f>VLOOKUP($B49,'АПП+Стомат.'!$B$4:$AN$91,14,FALSE)/1000</f>
        <v>252727.51464999997</v>
      </c>
      <c r="H49" s="436">
        <v>0</v>
      </c>
      <c r="I49" s="343"/>
      <c r="J49" s="436">
        <v>0</v>
      </c>
      <c r="K49" s="554">
        <v>0</v>
      </c>
      <c r="L49" s="503">
        <v>0</v>
      </c>
      <c r="M49" s="96"/>
      <c r="N49" s="97"/>
      <c r="O49" s="96"/>
      <c r="P49" s="97"/>
      <c r="Q49" s="96"/>
      <c r="R49" s="97"/>
      <c r="S49" s="96"/>
      <c r="T49" s="97"/>
      <c r="U49" s="101"/>
      <c r="V49" s="217"/>
      <c r="W49" s="554">
        <v>0</v>
      </c>
      <c r="X49" s="504">
        <v>0</v>
      </c>
      <c r="Y49" s="411">
        <f t="shared" si="3"/>
        <v>252727.51464999997</v>
      </c>
      <c r="Z49" s="318">
        <f>VLOOKUP(B49,'АПП+Стомат.'!$B$4:$AQ$89,42,FALSE)/1000</f>
        <v>252727.51464999997</v>
      </c>
      <c r="AA49" s="401">
        <f t="shared" si="4"/>
        <v>0</v>
      </c>
      <c r="AB49" s="96"/>
      <c r="AC49" s="97"/>
      <c r="AD49" s="96"/>
      <c r="AE49" s="97"/>
      <c r="AF49" s="96"/>
      <c r="AG49" s="97"/>
    </row>
    <row r="50" spans="1:33" ht="15" customHeight="1" x14ac:dyDescent="0.25">
      <c r="A50" s="5">
        <v>43</v>
      </c>
      <c r="B50" s="5">
        <v>392400</v>
      </c>
      <c r="C50" s="6" t="s">
        <v>51</v>
      </c>
      <c r="D50" s="554">
        <v>0</v>
      </c>
      <c r="E50" s="503">
        <v>0</v>
      </c>
      <c r="F50" s="98"/>
      <c r="G50" s="98"/>
      <c r="H50" s="436">
        <v>0</v>
      </c>
      <c r="I50" s="343"/>
      <c r="J50" s="436">
        <v>0</v>
      </c>
      <c r="K50" s="554">
        <v>0</v>
      </c>
      <c r="L50" s="503">
        <v>0</v>
      </c>
      <c r="M50" s="96"/>
      <c r="N50" s="97"/>
      <c r="O50" s="96"/>
      <c r="P50" s="97"/>
      <c r="Q50" s="96"/>
      <c r="R50" s="97"/>
      <c r="S50" s="96"/>
      <c r="T50" s="97"/>
      <c r="U50" s="101"/>
      <c r="V50" s="217"/>
      <c r="W50" s="554">
        <v>0</v>
      </c>
      <c r="X50" s="504">
        <v>0</v>
      </c>
      <c r="Y50" s="411">
        <f t="shared" si="3"/>
        <v>0</v>
      </c>
      <c r="Z50" s="318">
        <f>VLOOKUP(B50,'АПП+Стомат.'!$B$4:$AQ$89,42,FALSE)/1000</f>
        <v>0</v>
      </c>
      <c r="AA50" s="401">
        <f t="shared" si="4"/>
        <v>0</v>
      </c>
      <c r="AB50" s="96"/>
      <c r="AC50" s="97"/>
      <c r="AD50" s="96"/>
      <c r="AE50" s="97"/>
      <c r="AF50" s="96"/>
      <c r="AG50" s="97"/>
    </row>
    <row r="51" spans="1:33" ht="15" customHeight="1" x14ac:dyDescent="0.25">
      <c r="A51" s="5">
        <v>44</v>
      </c>
      <c r="B51" s="5">
        <v>391492</v>
      </c>
      <c r="C51" s="6" t="s">
        <v>196</v>
      </c>
      <c r="D51" s="554">
        <v>0</v>
      </c>
      <c r="E51" s="503">
        <v>0</v>
      </c>
      <c r="F51" s="343"/>
      <c r="G51" s="510"/>
      <c r="H51" s="436">
        <v>0</v>
      </c>
      <c r="I51" s="343"/>
      <c r="J51" s="436">
        <v>0</v>
      </c>
      <c r="K51" s="554">
        <v>0</v>
      </c>
      <c r="L51" s="503">
        <v>0</v>
      </c>
      <c r="M51" s="96"/>
      <c r="N51" s="97"/>
      <c r="O51" s="96"/>
      <c r="P51" s="97"/>
      <c r="Q51" s="96"/>
      <c r="R51" s="97"/>
      <c r="S51" s="96"/>
      <c r="T51" s="97"/>
      <c r="U51" s="101"/>
      <c r="V51" s="217"/>
      <c r="W51" s="554">
        <v>0</v>
      </c>
      <c r="X51" s="504">
        <v>0</v>
      </c>
      <c r="Y51" s="411">
        <f t="shared" si="3"/>
        <v>0</v>
      </c>
      <c r="Z51" s="318">
        <f>VLOOKUP(B51,'АПП+Стомат.'!$B$4:$AQ$89,42,FALSE)/1000</f>
        <v>0</v>
      </c>
      <c r="AA51" s="401">
        <f t="shared" si="4"/>
        <v>0</v>
      </c>
      <c r="AB51" s="96"/>
      <c r="AC51" s="97"/>
      <c r="AD51" s="101"/>
      <c r="AE51" s="217"/>
      <c r="AF51" s="96"/>
      <c r="AG51" s="97"/>
    </row>
    <row r="52" spans="1:33" ht="15" customHeight="1" x14ac:dyDescent="0.25">
      <c r="A52" s="5">
        <v>45</v>
      </c>
      <c r="B52" s="5">
        <v>392320</v>
      </c>
      <c r="C52" s="6" t="s">
        <v>52</v>
      </c>
      <c r="D52" s="554">
        <v>674</v>
      </c>
      <c r="E52" s="503">
        <v>869.30498</v>
      </c>
      <c r="F52" s="343"/>
      <c r="G52" s="510"/>
      <c r="H52" s="436">
        <v>0</v>
      </c>
      <c r="I52" s="343"/>
      <c r="J52" s="436">
        <v>0</v>
      </c>
      <c r="K52" s="554">
        <v>0</v>
      </c>
      <c r="L52" s="503">
        <v>0</v>
      </c>
      <c r="M52" s="96"/>
      <c r="N52" s="97"/>
      <c r="O52" s="96"/>
      <c r="P52" s="97"/>
      <c r="Q52" s="96"/>
      <c r="R52" s="97"/>
      <c r="S52" s="96"/>
      <c r="T52" s="97"/>
      <c r="U52" s="101"/>
      <c r="V52" s="217"/>
      <c r="W52" s="554">
        <v>0</v>
      </c>
      <c r="X52" s="504">
        <v>0</v>
      </c>
      <c r="Y52" s="411">
        <f t="shared" si="3"/>
        <v>869.30498</v>
      </c>
      <c r="Z52" s="318">
        <f>VLOOKUP(B52,'АПП+Стомат.'!$B$4:$AQ$89,42,FALSE)/1000</f>
        <v>869.30498</v>
      </c>
      <c r="AA52" s="401">
        <f t="shared" si="4"/>
        <v>0</v>
      </c>
      <c r="AB52" s="96"/>
      <c r="AC52" s="97"/>
      <c r="AD52" s="96"/>
      <c r="AE52" s="97"/>
      <c r="AF52" s="96"/>
      <c r="AG52" s="97"/>
    </row>
    <row r="53" spans="1:33" ht="15" customHeight="1" x14ac:dyDescent="0.25">
      <c r="A53" s="5">
        <v>46</v>
      </c>
      <c r="B53" s="5">
        <v>391310</v>
      </c>
      <c r="C53" s="6" t="s">
        <v>53</v>
      </c>
      <c r="D53" s="554">
        <v>0</v>
      </c>
      <c r="E53" s="503">
        <v>0</v>
      </c>
      <c r="F53" s="98"/>
      <c r="G53" s="510"/>
      <c r="H53" s="436">
        <v>0</v>
      </c>
      <c r="I53" s="98"/>
      <c r="J53" s="436">
        <v>0</v>
      </c>
      <c r="K53" s="554">
        <v>1188</v>
      </c>
      <c r="L53" s="503">
        <v>392.50332000000003</v>
      </c>
      <c r="M53" s="96"/>
      <c r="N53" s="97"/>
      <c r="O53" s="96"/>
      <c r="P53" s="97"/>
      <c r="Q53" s="96"/>
      <c r="R53" s="97"/>
      <c r="S53" s="96"/>
      <c r="T53" s="97"/>
      <c r="U53" s="96"/>
      <c r="V53" s="97"/>
      <c r="W53" s="554">
        <v>0</v>
      </c>
      <c r="X53" s="504">
        <v>0</v>
      </c>
      <c r="Y53" s="411">
        <f t="shared" si="3"/>
        <v>392.50332000000003</v>
      </c>
      <c r="Z53" s="318">
        <f>VLOOKUP(B53,'АПП+Стомат.'!$B$4:$AQ$89,42,FALSE)/1000</f>
        <v>392.5033200000023</v>
      </c>
      <c r="AA53" s="401">
        <f t="shared" si="4"/>
        <v>-2.2737367544323206E-12</v>
      </c>
      <c r="AB53" s="96"/>
      <c r="AC53" s="97"/>
      <c r="AD53" s="96"/>
      <c r="AE53" s="97"/>
      <c r="AF53" s="96"/>
      <c r="AG53" s="97"/>
    </row>
    <row r="54" spans="1:33" ht="15" customHeight="1" x14ac:dyDescent="0.25">
      <c r="A54" s="5">
        <v>47</v>
      </c>
      <c r="B54" s="5">
        <v>391000</v>
      </c>
      <c r="C54" s="6" t="s">
        <v>182</v>
      </c>
      <c r="D54" s="554">
        <v>0</v>
      </c>
      <c r="E54" s="503">
        <v>214.47471999999999</v>
      </c>
      <c r="F54" s="96"/>
      <c r="G54" s="97"/>
      <c r="H54" s="436">
        <v>214.47471999999999</v>
      </c>
      <c r="I54" s="96"/>
      <c r="J54" s="436">
        <v>0</v>
      </c>
      <c r="K54" s="554">
        <v>0</v>
      </c>
      <c r="L54" s="503">
        <v>0</v>
      </c>
      <c r="M54" s="96"/>
      <c r="N54" s="97"/>
      <c r="O54" s="96"/>
      <c r="P54" s="97"/>
      <c r="Q54" s="96"/>
      <c r="R54" s="97"/>
      <c r="S54" s="96"/>
      <c r="T54" s="97"/>
      <c r="U54" s="96"/>
      <c r="V54" s="97"/>
      <c r="W54" s="554">
        <v>0</v>
      </c>
      <c r="X54" s="504">
        <v>0</v>
      </c>
      <c r="Y54" s="411">
        <f t="shared" si="3"/>
        <v>214.47471999999999</v>
      </c>
      <c r="Z54" s="318">
        <f>VLOOKUP(B54,'АПП+Стомат.'!$B$4:$AQ$89,42,FALSE)/1000</f>
        <v>214.47471999999507</v>
      </c>
      <c r="AA54" s="401">
        <f t="shared" si="4"/>
        <v>4.9169557314598933E-12</v>
      </c>
      <c r="AB54" s="96"/>
      <c r="AC54" s="97"/>
      <c r="AD54" s="96"/>
      <c r="AE54" s="97"/>
      <c r="AF54" s="96"/>
      <c r="AG54" s="97"/>
    </row>
    <row r="55" spans="1:33" ht="15" customHeight="1" x14ac:dyDescent="0.25">
      <c r="A55" s="5">
        <v>48</v>
      </c>
      <c r="B55" s="5">
        <v>391930</v>
      </c>
      <c r="C55" s="6" t="s">
        <v>198</v>
      </c>
      <c r="D55" s="554">
        <v>0</v>
      </c>
      <c r="E55" s="503">
        <v>2996.1579499999866</v>
      </c>
      <c r="F55" s="96"/>
      <c r="G55" s="97"/>
      <c r="H55" s="436">
        <v>0</v>
      </c>
      <c r="I55" s="555">
        <v>373</v>
      </c>
      <c r="J55" s="436">
        <v>2996.1579499999866</v>
      </c>
      <c r="K55" s="554">
        <v>0</v>
      </c>
      <c r="L55" s="503">
        <v>0</v>
      </c>
      <c r="M55" s="96"/>
      <c r="N55" s="97"/>
      <c r="O55" s="96"/>
      <c r="P55" s="97"/>
      <c r="Q55" s="96"/>
      <c r="R55" s="97"/>
      <c r="S55" s="96"/>
      <c r="T55" s="97"/>
      <c r="U55" s="96"/>
      <c r="V55" s="97"/>
      <c r="W55" s="554">
        <v>0</v>
      </c>
      <c r="X55" s="504">
        <v>0</v>
      </c>
      <c r="Y55" s="411">
        <f t="shared" si="3"/>
        <v>2996.1579499999866</v>
      </c>
      <c r="Z55" s="318">
        <f>VLOOKUP(B55,'АПП+Стомат.'!$B$4:$AQ$89,42,FALSE)/1000</f>
        <v>2996.1579500000003</v>
      </c>
      <c r="AA55" s="401">
        <f t="shared" si="4"/>
        <v>-1.3642420526593924E-11</v>
      </c>
      <c r="AB55" s="96"/>
      <c r="AC55" s="97"/>
      <c r="AD55" s="101"/>
      <c r="AE55" s="217"/>
      <c r="AF55" s="96"/>
      <c r="AG55" s="97"/>
    </row>
    <row r="56" spans="1:33" ht="15" customHeight="1" x14ac:dyDescent="0.25">
      <c r="A56" s="5">
        <v>49</v>
      </c>
      <c r="B56" s="5">
        <v>392630</v>
      </c>
      <c r="C56" s="6" t="s">
        <v>199</v>
      </c>
      <c r="D56" s="554">
        <v>0</v>
      </c>
      <c r="E56" s="503">
        <v>0</v>
      </c>
      <c r="F56" s="98"/>
      <c r="G56" s="98"/>
      <c r="H56" s="436">
        <v>0</v>
      </c>
      <c r="I56" s="98"/>
      <c r="J56" s="436">
        <v>0</v>
      </c>
      <c r="K56" s="554">
        <v>0</v>
      </c>
      <c r="L56" s="503">
        <v>0</v>
      </c>
      <c r="M56" s="96"/>
      <c r="N56" s="97"/>
      <c r="O56" s="96"/>
      <c r="P56" s="97"/>
      <c r="Q56" s="96"/>
      <c r="R56" s="97"/>
      <c r="S56" s="96"/>
      <c r="T56" s="97"/>
      <c r="U56" s="96"/>
      <c r="V56" s="97"/>
      <c r="W56" s="554">
        <v>0</v>
      </c>
      <c r="X56" s="504">
        <v>0</v>
      </c>
      <c r="Y56" s="411">
        <f t="shared" si="3"/>
        <v>0</v>
      </c>
      <c r="Z56" s="318">
        <f>VLOOKUP(B56,'АПП+Стомат.'!$B$4:$AQ$89,42,FALSE)/1000</f>
        <v>0</v>
      </c>
      <c r="AA56" s="401">
        <f t="shared" si="4"/>
        <v>0</v>
      </c>
      <c r="AB56" s="96"/>
      <c r="AC56" s="97"/>
      <c r="AD56" s="96"/>
      <c r="AE56" s="97"/>
      <c r="AF56" s="96"/>
      <c r="AG56" s="97"/>
    </row>
    <row r="57" spans="1:33" ht="15" customHeight="1" x14ac:dyDescent="0.25">
      <c r="A57" s="5">
        <v>50</v>
      </c>
      <c r="B57" s="5">
        <v>392750</v>
      </c>
      <c r="C57" s="6" t="s">
        <v>65</v>
      </c>
      <c r="D57" s="554">
        <v>0</v>
      </c>
      <c r="E57" s="503">
        <v>0</v>
      </c>
      <c r="F57" s="98"/>
      <c r="G57" s="98"/>
      <c r="H57" s="436">
        <v>0</v>
      </c>
      <c r="I57" s="98"/>
      <c r="J57" s="436">
        <v>0</v>
      </c>
      <c r="K57" s="554">
        <v>0</v>
      </c>
      <c r="L57" s="503">
        <v>0</v>
      </c>
      <c r="M57" s="96"/>
      <c r="N57" s="97"/>
      <c r="O57" s="96"/>
      <c r="P57" s="97"/>
      <c r="Q57" s="96"/>
      <c r="R57" s="97"/>
      <c r="S57" s="96"/>
      <c r="T57" s="97"/>
      <c r="U57" s="96"/>
      <c r="V57" s="97"/>
      <c r="W57" s="554">
        <v>0</v>
      </c>
      <c r="X57" s="504">
        <v>0</v>
      </c>
      <c r="Y57" s="411">
        <f t="shared" si="3"/>
        <v>0</v>
      </c>
      <c r="Z57" s="318">
        <f>VLOOKUP(B57,'АПП+Стомат.'!$B$4:$AQ$89,42,FALSE)/1000</f>
        <v>0</v>
      </c>
      <c r="AA57" s="401">
        <f t="shared" si="4"/>
        <v>0</v>
      </c>
      <c r="AB57" s="96"/>
      <c r="AC57" s="97"/>
      <c r="AD57" s="96"/>
      <c r="AE57" s="97"/>
      <c r="AF57" s="96"/>
      <c r="AG57" s="97"/>
    </row>
    <row r="58" spans="1:33" ht="15" customHeight="1" x14ac:dyDescent="0.25">
      <c r="A58" s="5">
        <v>51</v>
      </c>
      <c r="B58" s="5">
        <v>392830</v>
      </c>
      <c r="C58" s="6" t="s">
        <v>200</v>
      </c>
      <c r="D58" s="554">
        <v>0</v>
      </c>
      <c r="E58" s="503">
        <v>0</v>
      </c>
      <c r="F58" s="98"/>
      <c r="G58" s="98"/>
      <c r="H58" s="436">
        <v>0</v>
      </c>
      <c r="I58" s="98"/>
      <c r="J58" s="436">
        <v>0</v>
      </c>
      <c r="K58" s="554">
        <v>0</v>
      </c>
      <c r="L58" s="503">
        <v>0</v>
      </c>
      <c r="M58" s="96"/>
      <c r="N58" s="97"/>
      <c r="O58" s="96"/>
      <c r="P58" s="97"/>
      <c r="Q58" s="96"/>
      <c r="R58" s="97"/>
      <c r="S58" s="96"/>
      <c r="T58" s="97"/>
      <c r="U58" s="96"/>
      <c r="V58" s="97"/>
      <c r="W58" s="554">
        <v>0</v>
      </c>
      <c r="X58" s="504">
        <v>0</v>
      </c>
      <c r="Y58" s="411">
        <f t="shared" si="3"/>
        <v>0</v>
      </c>
      <c r="Z58" s="318">
        <f>VLOOKUP(B58,'АПП+Стомат.'!$B$4:$AQ$89,42,FALSE)/1000</f>
        <v>0</v>
      </c>
      <c r="AA58" s="401">
        <f t="shared" si="4"/>
        <v>0</v>
      </c>
      <c r="AB58" s="96"/>
      <c r="AC58" s="97"/>
      <c r="AD58" s="96"/>
      <c r="AE58" s="97"/>
      <c r="AF58" s="96"/>
      <c r="AG58" s="97"/>
    </row>
    <row r="59" spans="1:33" ht="15" customHeight="1" x14ac:dyDescent="0.25">
      <c r="A59" s="5">
        <v>52</v>
      </c>
      <c r="B59" s="437">
        <v>390008</v>
      </c>
      <c r="C59" s="6" t="s">
        <v>201</v>
      </c>
      <c r="D59" s="554">
        <v>0</v>
      </c>
      <c r="E59" s="503">
        <v>0</v>
      </c>
      <c r="F59" s="98"/>
      <c r="G59" s="98"/>
      <c r="H59" s="436">
        <v>0</v>
      </c>
      <c r="I59" s="98">
        <v>30</v>
      </c>
      <c r="J59" s="436">
        <v>0</v>
      </c>
      <c r="K59" s="554">
        <v>0</v>
      </c>
      <c r="L59" s="503">
        <v>0</v>
      </c>
      <c r="M59" s="96"/>
      <c r="N59" s="97"/>
      <c r="O59" s="96"/>
      <c r="P59" s="97"/>
      <c r="Q59" s="96"/>
      <c r="R59" s="97"/>
      <c r="S59" s="96"/>
      <c r="T59" s="97"/>
      <c r="U59" s="96"/>
      <c r="V59" s="97"/>
      <c r="W59" s="554">
        <v>0</v>
      </c>
      <c r="X59" s="504">
        <v>0</v>
      </c>
      <c r="Y59" s="411">
        <f t="shared" si="3"/>
        <v>0</v>
      </c>
      <c r="Z59" s="318">
        <f>VLOOKUP(B59,'АПП+Стомат.'!$B$4:$AQ$89,42,FALSE)/1000</f>
        <v>0</v>
      </c>
      <c r="AA59" s="401">
        <f t="shared" si="4"/>
        <v>0</v>
      </c>
      <c r="AB59" s="96"/>
      <c r="AC59" s="97"/>
      <c r="AD59" s="101"/>
      <c r="AE59" s="217"/>
      <c r="AF59" s="96"/>
      <c r="AG59" s="97"/>
    </row>
    <row r="60" spans="1:33" ht="15" customHeight="1" x14ac:dyDescent="0.25">
      <c r="A60" s="5">
        <v>53</v>
      </c>
      <c r="B60" s="5">
        <v>391960</v>
      </c>
      <c r="C60" s="6" t="s">
        <v>66</v>
      </c>
      <c r="D60" s="554">
        <v>0</v>
      </c>
      <c r="E60" s="503">
        <v>6855.4828399995495</v>
      </c>
      <c r="F60" s="98"/>
      <c r="G60" s="98"/>
      <c r="H60" s="436">
        <v>0</v>
      </c>
      <c r="I60" s="555">
        <v>2959</v>
      </c>
      <c r="J60" s="436">
        <v>6855.4828399995495</v>
      </c>
      <c r="K60" s="554">
        <v>0</v>
      </c>
      <c r="L60" s="503">
        <v>0</v>
      </c>
      <c r="M60" s="96"/>
      <c r="N60" s="97"/>
      <c r="O60" s="96"/>
      <c r="P60" s="97"/>
      <c r="Q60" s="96"/>
      <c r="R60" s="97"/>
      <c r="S60" s="96"/>
      <c r="T60" s="97"/>
      <c r="U60" s="96"/>
      <c r="V60" s="97"/>
      <c r="W60" s="554">
        <v>0</v>
      </c>
      <c r="X60" s="504">
        <v>0</v>
      </c>
      <c r="Y60" s="411">
        <f t="shared" si="3"/>
        <v>6855.4828399995495</v>
      </c>
      <c r="Z60" s="318">
        <f>VLOOKUP(B60,'АПП+Стомат.'!$B$4:$AQ$89,42,FALSE)/1000</f>
        <v>6855.4828399999997</v>
      </c>
      <c r="AA60" s="401">
        <f t="shared" si="4"/>
        <v>-4.5019987737759948E-10</v>
      </c>
      <c r="AB60" s="96"/>
      <c r="AC60" s="97"/>
      <c r="AD60" s="96"/>
      <c r="AE60" s="97"/>
      <c r="AF60" s="96"/>
      <c r="AG60" s="97"/>
    </row>
    <row r="61" spans="1:33" ht="15" customHeight="1" x14ac:dyDescent="0.25">
      <c r="A61" s="5">
        <v>54</v>
      </c>
      <c r="B61" s="437">
        <v>390007</v>
      </c>
      <c r="C61" s="6" t="s">
        <v>202</v>
      </c>
      <c r="D61" s="554">
        <v>23</v>
      </c>
      <c r="E61" s="503">
        <v>29.896939999999997</v>
      </c>
      <c r="F61" s="98"/>
      <c r="G61" s="98"/>
      <c r="H61" s="436">
        <v>0</v>
      </c>
      <c r="I61" s="98"/>
      <c r="J61" s="436">
        <v>0</v>
      </c>
      <c r="K61" s="554">
        <v>0</v>
      </c>
      <c r="L61" s="503">
        <v>0</v>
      </c>
      <c r="M61" s="96"/>
      <c r="N61" s="97"/>
      <c r="O61" s="96"/>
      <c r="P61" s="97"/>
      <c r="Q61" s="96"/>
      <c r="R61" s="97"/>
      <c r="S61" s="96"/>
      <c r="T61" s="97"/>
      <c r="U61" s="96"/>
      <c r="V61" s="97"/>
      <c r="W61" s="554">
        <v>0</v>
      </c>
      <c r="X61" s="504">
        <v>0</v>
      </c>
      <c r="Y61" s="411">
        <f t="shared" si="3"/>
        <v>29.896939999999997</v>
      </c>
      <c r="Z61" s="318">
        <f>VLOOKUP(B61,'АПП+Стомат.'!$B$4:$AQ$89,42,FALSE)/1000</f>
        <v>29.896939999999997</v>
      </c>
      <c r="AA61" s="401">
        <f t="shared" si="4"/>
        <v>0</v>
      </c>
      <c r="AB61" s="96"/>
      <c r="AC61" s="97"/>
      <c r="AD61" s="96"/>
      <c r="AE61" s="97"/>
      <c r="AF61" s="96"/>
      <c r="AG61" s="97"/>
    </row>
    <row r="62" spans="1:33" ht="15" customHeight="1" x14ac:dyDescent="0.25">
      <c r="A62" s="5">
        <v>55</v>
      </c>
      <c r="B62" s="5">
        <v>391370</v>
      </c>
      <c r="C62" s="6" t="s">
        <v>73</v>
      </c>
      <c r="D62" s="554">
        <v>0</v>
      </c>
      <c r="E62" s="503">
        <v>2571.8504199999998</v>
      </c>
      <c r="F62" s="98"/>
      <c r="G62" s="98"/>
      <c r="H62" s="436">
        <v>2571.8504199999998</v>
      </c>
      <c r="I62" s="98"/>
      <c r="J62" s="436">
        <v>0</v>
      </c>
      <c r="K62" s="554">
        <v>0</v>
      </c>
      <c r="L62" s="503">
        <v>0</v>
      </c>
      <c r="M62" s="96"/>
      <c r="N62" s="97"/>
      <c r="O62" s="96"/>
      <c r="P62" s="97"/>
      <c r="Q62" s="96"/>
      <c r="R62" s="97"/>
      <c r="S62" s="96"/>
      <c r="T62" s="97"/>
      <c r="U62" s="96"/>
      <c r="V62" s="97"/>
      <c r="W62" s="554">
        <v>0</v>
      </c>
      <c r="X62" s="504">
        <v>0</v>
      </c>
      <c r="Y62" s="513">
        <f t="shared" si="3"/>
        <v>2571.8504199999998</v>
      </c>
      <c r="Z62" s="318">
        <f>VLOOKUP(B62,'АПП+Стомат.'!$B$4:$AQ$89,42,FALSE)/1000</f>
        <v>2571.8504199999998</v>
      </c>
      <c r="AA62" s="401">
        <f t="shared" si="4"/>
        <v>0</v>
      </c>
      <c r="AB62" s="96"/>
      <c r="AC62" s="97"/>
      <c r="AD62" s="96"/>
      <c r="AE62" s="97"/>
      <c r="AF62" s="96"/>
      <c r="AG62" s="97"/>
    </row>
    <row r="63" spans="1:33" ht="15" customHeight="1" x14ac:dyDescent="0.25">
      <c r="A63" s="5">
        <v>56</v>
      </c>
      <c r="B63" s="5">
        <v>392470</v>
      </c>
      <c r="C63" s="6" t="s">
        <v>67</v>
      </c>
      <c r="D63" s="554">
        <v>0</v>
      </c>
      <c r="E63" s="503">
        <v>0</v>
      </c>
      <c r="F63" s="98"/>
      <c r="G63" s="98"/>
      <c r="H63" s="436">
        <v>0</v>
      </c>
      <c r="I63" s="98">
        <v>10</v>
      </c>
      <c r="J63" s="436">
        <v>0</v>
      </c>
      <c r="K63" s="554">
        <v>0</v>
      </c>
      <c r="L63" s="503">
        <v>0</v>
      </c>
      <c r="M63" s="96"/>
      <c r="N63" s="97"/>
      <c r="O63" s="96"/>
      <c r="P63" s="97"/>
      <c r="Q63" s="96"/>
      <c r="R63" s="97"/>
      <c r="S63" s="96"/>
      <c r="T63" s="97"/>
      <c r="U63" s="96"/>
      <c r="V63" s="97"/>
      <c r="W63" s="554">
        <v>0</v>
      </c>
      <c r="X63" s="504">
        <v>0</v>
      </c>
      <c r="Y63" s="411">
        <f t="shared" si="3"/>
        <v>0</v>
      </c>
      <c r="Z63" s="318">
        <f>VLOOKUP(B63,'АПП+Стомат.'!$B$4:$AQ$89,42,FALSE)/1000</f>
        <v>0</v>
      </c>
      <c r="AA63" s="401">
        <f t="shared" si="4"/>
        <v>0</v>
      </c>
      <c r="AB63" s="96"/>
      <c r="AC63" s="97"/>
      <c r="AD63" s="101"/>
      <c r="AE63" s="217"/>
      <c r="AF63" s="96"/>
      <c r="AG63" s="97"/>
    </row>
    <row r="64" spans="1:33" ht="15" customHeight="1" x14ac:dyDescent="0.25">
      <c r="A64" s="5">
        <v>57</v>
      </c>
      <c r="B64" s="5">
        <v>391970</v>
      </c>
      <c r="C64" s="6" t="s">
        <v>203</v>
      </c>
      <c r="D64" s="554">
        <v>0</v>
      </c>
      <c r="E64" s="503">
        <v>4487.9841299999998</v>
      </c>
      <c r="F64" s="98"/>
      <c r="G64" s="98"/>
      <c r="H64" s="436">
        <v>4487.9841299999998</v>
      </c>
      <c r="I64" s="98"/>
      <c r="J64" s="436">
        <v>0</v>
      </c>
      <c r="K64" s="554">
        <v>0</v>
      </c>
      <c r="L64" s="503">
        <v>0</v>
      </c>
      <c r="M64" s="96"/>
      <c r="N64" s="97"/>
      <c r="O64" s="96"/>
      <c r="P64" s="97"/>
      <c r="Q64" s="96"/>
      <c r="R64" s="97"/>
      <c r="S64" s="96"/>
      <c r="T64" s="97"/>
      <c r="U64" s="96"/>
      <c r="V64" s="97"/>
      <c r="W64" s="554">
        <v>0</v>
      </c>
      <c r="X64" s="504">
        <v>0</v>
      </c>
      <c r="Y64" s="411">
        <f t="shared" si="3"/>
        <v>4487.9841299999998</v>
      </c>
      <c r="Z64" s="318">
        <f>VLOOKUP(B64,'АПП+Стомат.'!$B$4:$AQ$89,42,FALSE)/1000</f>
        <v>4487.9841299999998</v>
      </c>
      <c r="AA64" s="401">
        <f t="shared" si="4"/>
        <v>0</v>
      </c>
      <c r="AB64" s="96"/>
      <c r="AC64" s="97"/>
      <c r="AD64" s="96"/>
      <c r="AE64" s="97"/>
      <c r="AF64" s="96"/>
      <c r="AG64" s="97"/>
    </row>
    <row r="65" spans="1:33" ht="15" customHeight="1" x14ac:dyDescent="0.25">
      <c r="A65" s="5">
        <v>58</v>
      </c>
      <c r="B65" s="5">
        <v>392720</v>
      </c>
      <c r="C65" s="6" t="s">
        <v>69</v>
      </c>
      <c r="D65" s="554">
        <v>0</v>
      </c>
      <c r="E65" s="503">
        <v>0</v>
      </c>
      <c r="F65" s="98"/>
      <c r="G65" s="98"/>
      <c r="H65" s="436">
        <v>0</v>
      </c>
      <c r="I65" s="98"/>
      <c r="J65" s="436">
        <v>0</v>
      </c>
      <c r="K65" s="554">
        <v>0</v>
      </c>
      <c r="L65" s="503">
        <v>0</v>
      </c>
      <c r="M65" s="96"/>
      <c r="N65" s="97"/>
      <c r="O65" s="96"/>
      <c r="P65" s="97"/>
      <c r="Q65" s="96"/>
      <c r="R65" s="97"/>
      <c r="S65" s="96"/>
      <c r="T65" s="97"/>
      <c r="U65" s="96"/>
      <c r="V65" s="97"/>
      <c r="W65" s="554">
        <v>0</v>
      </c>
      <c r="X65" s="504">
        <v>0</v>
      </c>
      <c r="Y65" s="411">
        <f t="shared" si="3"/>
        <v>0</v>
      </c>
      <c r="Z65" s="318">
        <f>VLOOKUP(B65,'АПП+Стомат.'!$B$4:$AQ$89,42,FALSE)/1000</f>
        <v>0</v>
      </c>
      <c r="AA65" s="401">
        <f t="shared" si="4"/>
        <v>0</v>
      </c>
      <c r="AB65" s="96"/>
      <c r="AC65" s="97"/>
      <c r="AD65" s="96"/>
      <c r="AE65" s="97"/>
      <c r="AF65" s="96"/>
      <c r="AG65" s="97"/>
    </row>
    <row r="66" spans="1:33" ht="15" customHeight="1" x14ac:dyDescent="0.25">
      <c r="A66" s="5">
        <v>59</v>
      </c>
      <c r="B66" s="5">
        <v>392050</v>
      </c>
      <c r="C66" s="6" t="s">
        <v>204</v>
      </c>
      <c r="D66" s="554">
        <v>0</v>
      </c>
      <c r="E66" s="503">
        <v>0</v>
      </c>
      <c r="F66" s="98"/>
      <c r="G66" s="98"/>
      <c r="H66" s="436">
        <v>0</v>
      </c>
      <c r="I66" s="98"/>
      <c r="J66" s="436">
        <v>0</v>
      </c>
      <c r="K66" s="554">
        <v>0</v>
      </c>
      <c r="L66" s="503">
        <v>0</v>
      </c>
      <c r="M66" s="96"/>
      <c r="N66" s="97"/>
      <c r="O66" s="96"/>
      <c r="P66" s="97"/>
      <c r="Q66" s="96"/>
      <c r="R66" s="97"/>
      <c r="S66" s="96"/>
      <c r="T66" s="97"/>
      <c r="U66" s="96"/>
      <c r="V66" s="97"/>
      <c r="W66" s="554">
        <v>0</v>
      </c>
      <c r="X66" s="504">
        <v>0</v>
      </c>
      <c r="Y66" s="411">
        <f t="shared" si="3"/>
        <v>0</v>
      </c>
      <c r="Z66" s="318">
        <f>VLOOKUP(B66,'АПП+Стомат.'!$B$4:$AQ$89,42,FALSE)/1000</f>
        <v>0</v>
      </c>
      <c r="AA66" s="401">
        <f t="shared" si="4"/>
        <v>0</v>
      </c>
      <c r="AB66" s="96"/>
      <c r="AC66" s="97"/>
      <c r="AD66" s="96"/>
      <c r="AE66" s="97"/>
      <c r="AF66" s="96"/>
      <c r="AG66" s="97"/>
    </row>
    <row r="67" spans="1:33" ht="15" customHeight="1" x14ac:dyDescent="0.25">
      <c r="A67" s="5">
        <v>60</v>
      </c>
      <c r="B67" s="5">
        <v>391840</v>
      </c>
      <c r="C67" s="6" t="s">
        <v>205</v>
      </c>
      <c r="D67" s="554">
        <v>0</v>
      </c>
      <c r="E67" s="503">
        <v>0</v>
      </c>
      <c r="F67" s="98"/>
      <c r="G67" s="98"/>
      <c r="H67" s="436">
        <v>0</v>
      </c>
      <c r="I67" s="98"/>
      <c r="J67" s="436">
        <v>0</v>
      </c>
      <c r="K67" s="554">
        <v>0</v>
      </c>
      <c r="L67" s="503">
        <v>0</v>
      </c>
      <c r="M67" s="96"/>
      <c r="N67" s="97"/>
      <c r="O67" s="96"/>
      <c r="P67" s="97"/>
      <c r="Q67" s="96"/>
      <c r="R67" s="97"/>
      <c r="S67" s="96"/>
      <c r="T67" s="97"/>
      <c r="U67" s="96"/>
      <c r="V67" s="97"/>
      <c r="W67" s="554">
        <v>0</v>
      </c>
      <c r="X67" s="504">
        <v>0</v>
      </c>
      <c r="Y67" s="411">
        <f t="shared" si="3"/>
        <v>0</v>
      </c>
      <c r="Z67" s="318">
        <f>VLOOKUP(B67,'АПП+Стомат.'!$B$4:$AQ$89,42,FALSE)/1000</f>
        <v>0</v>
      </c>
      <c r="AA67" s="401">
        <f t="shared" si="4"/>
        <v>0</v>
      </c>
      <c r="AB67" s="96">
        <v>8</v>
      </c>
      <c r="AC67" s="97">
        <v>167.244</v>
      </c>
      <c r="AD67" s="96">
        <v>4</v>
      </c>
      <c r="AE67" s="97">
        <v>91.984200000000016</v>
      </c>
      <c r="AF67" s="96"/>
      <c r="AG67" s="97"/>
    </row>
    <row r="68" spans="1:33" ht="15" customHeight="1" x14ac:dyDescent="0.25">
      <c r="A68" s="5">
        <v>61</v>
      </c>
      <c r="B68" s="437">
        <v>390002</v>
      </c>
      <c r="C68" s="6" t="s">
        <v>206</v>
      </c>
      <c r="D68" s="554">
        <v>0</v>
      </c>
      <c r="E68" s="503">
        <v>0</v>
      </c>
      <c r="F68" s="98"/>
      <c r="G68" s="98"/>
      <c r="H68" s="436">
        <v>0</v>
      </c>
      <c r="I68" s="98"/>
      <c r="J68" s="436">
        <v>0</v>
      </c>
      <c r="K68" s="554">
        <v>0</v>
      </c>
      <c r="L68" s="503">
        <v>0</v>
      </c>
      <c r="M68" s="96"/>
      <c r="N68" s="97"/>
      <c r="O68" s="96"/>
      <c r="P68" s="97"/>
      <c r="Q68" s="96"/>
      <c r="R68" s="97"/>
      <c r="S68" s="96"/>
      <c r="T68" s="97"/>
      <c r="U68" s="96"/>
      <c r="V68" s="97"/>
      <c r="W68" s="554">
        <v>0</v>
      </c>
      <c r="X68" s="504">
        <v>0</v>
      </c>
      <c r="Y68" s="411">
        <f t="shared" si="3"/>
        <v>0</v>
      </c>
      <c r="Z68" s="318">
        <f>VLOOKUP(B68,'АПП+Стомат.'!$B$4:$AQ$89,42,FALSE)/1000</f>
        <v>0</v>
      </c>
      <c r="AA68" s="401">
        <f t="shared" si="4"/>
        <v>0</v>
      </c>
      <c r="AB68" s="96"/>
      <c r="AC68" s="97"/>
      <c r="AD68" s="96"/>
      <c r="AE68" s="97"/>
      <c r="AF68" s="217"/>
      <c r="AG68" s="217"/>
    </row>
    <row r="69" spans="1:33" ht="15.75" customHeight="1" x14ac:dyDescent="0.25">
      <c r="A69" s="5">
        <v>62</v>
      </c>
      <c r="B69" s="5">
        <v>392580</v>
      </c>
      <c r="C69" s="6" t="s">
        <v>71</v>
      </c>
      <c r="D69" s="554">
        <v>0</v>
      </c>
      <c r="E69" s="503">
        <v>188.04945000000001</v>
      </c>
      <c r="F69" s="98"/>
      <c r="G69" s="98"/>
      <c r="H69" s="436">
        <v>188.04945000000001</v>
      </c>
      <c r="I69" s="98">
        <v>30</v>
      </c>
      <c r="J69" s="436">
        <v>0</v>
      </c>
      <c r="K69" s="554">
        <v>0</v>
      </c>
      <c r="L69" s="503">
        <v>0</v>
      </c>
      <c r="M69" s="96"/>
      <c r="N69" s="97"/>
      <c r="O69" s="96"/>
      <c r="P69" s="97"/>
      <c r="Q69" s="96"/>
      <c r="R69" s="97"/>
      <c r="S69" s="96"/>
      <c r="T69" s="97"/>
      <c r="U69" s="96"/>
      <c r="V69" s="97"/>
      <c r="W69" s="554">
        <v>0</v>
      </c>
      <c r="X69" s="504">
        <v>0</v>
      </c>
      <c r="Y69" s="411">
        <f t="shared" si="3"/>
        <v>188.04945000000001</v>
      </c>
      <c r="Z69" s="318">
        <f>VLOOKUP(B69,'АПП+Стомат.'!$B$4:$AQ$89,42,FALSE)/1000</f>
        <v>188.04945000000001</v>
      </c>
      <c r="AA69" s="401">
        <f t="shared" si="4"/>
        <v>0</v>
      </c>
      <c r="AB69" s="96"/>
      <c r="AC69" s="97"/>
      <c r="AD69" s="96"/>
      <c r="AE69" s="97"/>
      <c r="AF69" s="217"/>
      <c r="AG69" s="217"/>
    </row>
    <row r="70" spans="1:33" s="236" customFormat="1" ht="15.75" customHeight="1" x14ac:dyDescent="0.25">
      <c r="A70" s="5">
        <v>63</v>
      </c>
      <c r="B70" s="437">
        <v>390001</v>
      </c>
      <c r="C70" s="6" t="s">
        <v>207</v>
      </c>
      <c r="D70" s="554">
        <v>0</v>
      </c>
      <c r="E70" s="503">
        <v>3594.45228</v>
      </c>
      <c r="F70" s="98"/>
      <c r="G70" s="98"/>
      <c r="H70" s="436">
        <v>3594.1319399999998</v>
      </c>
      <c r="I70" s="555">
        <v>1</v>
      </c>
      <c r="J70" s="436">
        <v>0.32033999999999996</v>
      </c>
      <c r="K70" s="554">
        <v>0</v>
      </c>
      <c r="L70" s="503">
        <v>0</v>
      </c>
      <c r="M70" s="96"/>
      <c r="N70" s="97"/>
      <c r="O70" s="96"/>
      <c r="P70" s="97"/>
      <c r="Q70" s="96"/>
      <c r="R70" s="97"/>
      <c r="S70" s="96"/>
      <c r="T70" s="97"/>
      <c r="U70" s="96"/>
      <c r="V70" s="97"/>
      <c r="W70" s="554">
        <v>0</v>
      </c>
      <c r="X70" s="504">
        <v>0</v>
      </c>
      <c r="Y70" s="411">
        <f t="shared" si="3"/>
        <v>3594.45228</v>
      </c>
      <c r="Z70" s="318">
        <f>VLOOKUP(B70,'АПП+Стомат.'!$B$4:$AQ$89,42,FALSE)/1000</f>
        <v>3594.45228</v>
      </c>
      <c r="AA70" s="401">
        <f t="shared" si="4"/>
        <v>0</v>
      </c>
      <c r="AB70" s="96"/>
      <c r="AC70" s="97"/>
      <c r="AD70" s="96"/>
      <c r="AE70" s="97"/>
      <c r="AF70" s="217"/>
      <c r="AG70" s="217"/>
    </row>
    <row r="71" spans="1:33" s="236" customFormat="1" ht="15.75" customHeight="1" x14ac:dyDescent="0.25">
      <c r="A71" s="5">
        <v>64</v>
      </c>
      <c r="B71" s="437">
        <v>390010</v>
      </c>
      <c r="C71" s="6" t="s">
        <v>208</v>
      </c>
      <c r="D71" s="554">
        <v>0</v>
      </c>
      <c r="E71" s="503">
        <v>0</v>
      </c>
      <c r="F71" s="98"/>
      <c r="G71" s="98"/>
      <c r="H71" s="436">
        <v>0</v>
      </c>
      <c r="I71" s="98"/>
      <c r="J71" s="436">
        <v>0</v>
      </c>
      <c r="K71" s="554">
        <v>0</v>
      </c>
      <c r="L71" s="503">
        <v>0</v>
      </c>
      <c r="M71" s="96"/>
      <c r="N71" s="97"/>
      <c r="O71" s="96"/>
      <c r="P71" s="97"/>
      <c r="Q71" s="96"/>
      <c r="R71" s="97"/>
      <c r="S71" s="96"/>
      <c r="T71" s="97"/>
      <c r="U71" s="96"/>
      <c r="V71" s="97"/>
      <c r="W71" s="554">
        <v>0</v>
      </c>
      <c r="X71" s="504">
        <v>0</v>
      </c>
      <c r="Y71" s="411">
        <f t="shared" si="3"/>
        <v>0</v>
      </c>
      <c r="Z71" s="318">
        <f>VLOOKUP(B71,'АПП+Стомат.'!$B$4:$AQ$89,42,FALSE)/1000</f>
        <v>0</v>
      </c>
      <c r="AA71" s="401">
        <f t="shared" si="4"/>
        <v>0</v>
      </c>
      <c r="AB71" s="101"/>
      <c r="AC71" s="217"/>
      <c r="AD71" s="101"/>
      <c r="AE71" s="217"/>
      <c r="AF71" s="217"/>
      <c r="AG71" s="217"/>
    </row>
    <row r="72" spans="1:33" s="236" customFormat="1" ht="15.75" customHeight="1" x14ac:dyDescent="0.25">
      <c r="A72" s="5"/>
      <c r="B72" s="205"/>
      <c r="C72" s="361"/>
      <c r="D72" s="299"/>
      <c r="E72" s="344"/>
      <c r="F72" s="345"/>
      <c r="G72" s="345"/>
      <c r="H72" s="436"/>
      <c r="I72" s="345"/>
      <c r="J72" s="346"/>
      <c r="K72" s="347"/>
      <c r="L72" s="348"/>
      <c r="M72" s="349"/>
      <c r="N72" s="346"/>
      <c r="O72" s="349"/>
      <c r="P72" s="346"/>
      <c r="Q72" s="349"/>
      <c r="R72" s="346"/>
      <c r="S72" s="349"/>
      <c r="T72" s="346"/>
      <c r="U72" s="349"/>
      <c r="V72" s="346"/>
      <c r="W72" s="347"/>
      <c r="X72" s="348"/>
      <c r="Y72" s="412"/>
      <c r="Z72" s="318"/>
      <c r="AA72" s="401"/>
      <c r="AB72" s="96"/>
      <c r="AC72" s="97"/>
      <c r="AD72" s="96"/>
      <c r="AE72" s="97"/>
      <c r="AF72" s="493"/>
      <c r="AG72" s="493"/>
    </row>
    <row r="73" spans="1:33" s="236" customFormat="1" ht="15.75" customHeight="1" x14ac:dyDescent="0.25">
      <c r="A73" s="5"/>
      <c r="B73" s="5"/>
      <c r="C73" s="91" t="s">
        <v>75</v>
      </c>
      <c r="D73" s="101">
        <f>SUM(D8:D72)</f>
        <v>523659</v>
      </c>
      <c r="E73" s="341">
        <f t="shared" ref="E73:AE73" si="6">SUM(E8:E72)</f>
        <v>2707430.4624699573</v>
      </c>
      <c r="F73" s="101">
        <f t="shared" si="6"/>
        <v>4130</v>
      </c>
      <c r="G73" s="217">
        <f t="shared" si="6"/>
        <v>372369.28187999997</v>
      </c>
      <c r="H73" s="97">
        <f t="shared" si="6"/>
        <v>383437.28190999973</v>
      </c>
      <c r="I73" s="101">
        <f t="shared" si="6"/>
        <v>208937</v>
      </c>
      <c r="J73" s="217">
        <f t="shared" si="6"/>
        <v>162064.22762995836</v>
      </c>
      <c r="K73" s="101">
        <f t="shared" si="6"/>
        <v>3509430</v>
      </c>
      <c r="L73" s="341">
        <f t="shared" si="6"/>
        <v>2510847.2963900003</v>
      </c>
      <c r="M73" s="101">
        <f t="shared" si="6"/>
        <v>237161</v>
      </c>
      <c r="N73" s="217">
        <f t="shared" si="6"/>
        <v>705568.15839</v>
      </c>
      <c r="O73" s="101">
        <f t="shared" si="6"/>
        <v>76742</v>
      </c>
      <c r="P73" s="217">
        <f t="shared" si="6"/>
        <v>106197.89058000001</v>
      </c>
      <c r="Q73" s="101">
        <f t="shared" si="6"/>
        <v>230006</v>
      </c>
      <c r="R73" s="217">
        <f t="shared" si="6"/>
        <v>494081.96890000004</v>
      </c>
      <c r="S73" s="101">
        <f t="shared" si="6"/>
        <v>263289</v>
      </c>
      <c r="T73" s="217">
        <f t="shared" si="6"/>
        <v>346497.99128000002</v>
      </c>
      <c r="U73" s="101">
        <f t="shared" si="6"/>
        <v>2338</v>
      </c>
      <c r="V73" s="217">
        <f t="shared" si="6"/>
        <v>35660.039660000111</v>
      </c>
      <c r="W73" s="101">
        <f t="shared" si="6"/>
        <v>430059</v>
      </c>
      <c r="X73" s="341">
        <f t="shared" si="6"/>
        <v>414341.10327999998</v>
      </c>
      <c r="Y73" s="413">
        <f t="shared" si="6"/>
        <v>5668278.901799961</v>
      </c>
      <c r="Z73" s="410">
        <f t="shared" si="6"/>
        <v>5511480.7185599292</v>
      </c>
      <c r="AA73" s="400">
        <f t="shared" si="6"/>
        <v>156798.18324003092</v>
      </c>
      <c r="AB73" s="101">
        <f t="shared" si="6"/>
        <v>173</v>
      </c>
      <c r="AC73" s="217">
        <f t="shared" si="6"/>
        <v>3616.6515000000004</v>
      </c>
      <c r="AD73" s="101">
        <f t="shared" si="6"/>
        <v>95</v>
      </c>
      <c r="AE73" s="217">
        <f t="shared" si="6"/>
        <v>1989.1583250000001</v>
      </c>
      <c r="AF73" s="101">
        <f>SUM(AF8:AF72)</f>
        <v>3200</v>
      </c>
      <c r="AG73" s="217">
        <f>SUM(AG8:AG72)</f>
        <v>3136.5575699999999</v>
      </c>
    </row>
    <row r="74" spans="1:33" s="363" customFormat="1" ht="16.5" customHeight="1" x14ac:dyDescent="0.25">
      <c r="A74" s="362"/>
      <c r="B74" s="362"/>
      <c r="C74" s="363" t="s">
        <v>228</v>
      </c>
      <c r="D74" s="364">
        <v>34686</v>
      </c>
      <c r="E74" s="365">
        <v>116713.79118</v>
      </c>
      <c r="H74" s="366"/>
      <c r="K74" s="364">
        <v>439300</v>
      </c>
      <c r="L74" s="365">
        <v>593917.64731000015</v>
      </c>
      <c r="U74" s="367"/>
      <c r="W74" s="364">
        <v>9370</v>
      </c>
      <c r="X74" s="365">
        <v>8792.2063500000004</v>
      </c>
      <c r="Y74" s="365">
        <f>E74+L74+X74</f>
        <v>719423.64484000008</v>
      </c>
      <c r="AB74" s="96"/>
      <c r="AC74" s="97"/>
      <c r="AD74" s="96"/>
      <c r="AE74" s="97"/>
      <c r="AF74" s="236"/>
      <c r="AG74" s="236"/>
    </row>
    <row r="75" spans="1:33" s="375" customFormat="1" ht="16.5" customHeight="1" x14ac:dyDescent="0.25">
      <c r="A75" s="368"/>
      <c r="B75" s="368"/>
      <c r="C75" s="369"/>
      <c r="D75" s="370"/>
      <c r="E75" s="371"/>
      <c r="F75" s="370"/>
      <c r="G75" s="372"/>
      <c r="H75" s="373"/>
      <c r="I75" s="370"/>
      <c r="J75" s="372"/>
      <c r="K75" s="370"/>
      <c r="L75" s="371"/>
      <c r="M75" s="370"/>
      <c r="N75" s="372"/>
      <c r="O75" s="370"/>
      <c r="P75" s="372"/>
      <c r="Q75" s="370"/>
      <c r="R75" s="372"/>
      <c r="S75" s="370"/>
      <c r="T75" s="372"/>
      <c r="U75" s="370"/>
      <c r="V75" s="372"/>
      <c r="W75" s="370"/>
      <c r="X75" s="371"/>
      <c r="Y75" s="374"/>
      <c r="AB75" s="101"/>
      <c r="AC75" s="217"/>
      <c r="AD75" s="101"/>
      <c r="AE75" s="217"/>
      <c r="AF75" s="236"/>
      <c r="AG75" s="236"/>
    </row>
    <row r="76" spans="1:33" s="337" customFormat="1" ht="15.75" customHeight="1" x14ac:dyDescent="0.25">
      <c r="A76" s="376"/>
      <c r="B76" s="376"/>
      <c r="C76" s="377"/>
      <c r="D76" s="378"/>
      <c r="E76" s="379"/>
      <c r="F76" s="378"/>
      <c r="G76" s="380"/>
      <c r="H76" s="381"/>
      <c r="I76" s="378"/>
      <c r="J76" s="380"/>
      <c r="K76" s="378"/>
      <c r="L76" s="382"/>
      <c r="M76" s="378"/>
      <c r="N76" s="380"/>
      <c r="O76" s="378"/>
      <c r="P76" s="380"/>
      <c r="Q76" s="378"/>
      <c r="R76" s="380"/>
      <c r="S76" s="378"/>
      <c r="T76" s="380"/>
      <c r="U76" s="378"/>
      <c r="V76" s="382"/>
      <c r="W76" s="378"/>
      <c r="X76" s="379"/>
      <c r="Y76" s="382"/>
      <c r="AB76" s="68"/>
      <c r="AC76" s="68"/>
      <c r="AD76" s="68"/>
      <c r="AE76" s="68"/>
      <c r="AF76" s="68"/>
      <c r="AG76" s="68"/>
    </row>
    <row r="77" spans="1:33" s="236" customFormat="1" ht="15.75" customHeight="1" x14ac:dyDescent="0.25">
      <c r="A77" s="38"/>
      <c r="B77" s="38"/>
      <c r="C77" s="236" t="s">
        <v>215</v>
      </c>
      <c r="D77" s="227">
        <f>SUM(D73:D76)</f>
        <v>558345</v>
      </c>
      <c r="E77" s="383">
        <f>SUM(E73:E76)</f>
        <v>2824144.2536499575</v>
      </c>
      <c r="F77" s="227">
        <f t="shared" ref="F77:X77" si="7">SUM(F73:F76)</f>
        <v>4130</v>
      </c>
      <c r="G77" s="229">
        <f t="shared" si="7"/>
        <v>372369.28187999997</v>
      </c>
      <c r="H77" s="229">
        <f t="shared" si="7"/>
        <v>383437.28190999973</v>
      </c>
      <c r="I77" s="227">
        <f t="shared" si="7"/>
        <v>208937</v>
      </c>
      <c r="J77" s="229">
        <f t="shared" si="7"/>
        <v>162064.22762995836</v>
      </c>
      <c r="K77" s="227">
        <f>SUM(K73:K76)</f>
        <v>3948730</v>
      </c>
      <c r="L77" s="383">
        <f t="shared" si="7"/>
        <v>3104764.9437000006</v>
      </c>
      <c r="M77" s="229">
        <f t="shared" si="7"/>
        <v>237161</v>
      </c>
      <c r="N77" s="229">
        <f t="shared" si="7"/>
        <v>705568.15839</v>
      </c>
      <c r="O77" s="229">
        <f t="shared" si="7"/>
        <v>76742</v>
      </c>
      <c r="P77" s="229">
        <f t="shared" si="7"/>
        <v>106197.89058000001</v>
      </c>
      <c r="Q77" s="229">
        <f t="shared" si="7"/>
        <v>230006</v>
      </c>
      <c r="R77" s="229">
        <f t="shared" si="7"/>
        <v>494081.96890000004</v>
      </c>
      <c r="S77" s="229">
        <f t="shared" si="7"/>
        <v>263289</v>
      </c>
      <c r="T77" s="229">
        <f t="shared" si="7"/>
        <v>346497.99128000002</v>
      </c>
      <c r="U77" s="227">
        <f>SUM(U73:U76)</f>
        <v>2338</v>
      </c>
      <c r="V77" s="229">
        <f>SUM(V73:V76)</f>
        <v>35660.039660000111</v>
      </c>
      <c r="W77" s="227">
        <f t="shared" si="7"/>
        <v>439429</v>
      </c>
      <c r="X77" s="383">
        <f t="shared" si="7"/>
        <v>423133.30962999997</v>
      </c>
      <c r="Y77" s="383">
        <f>SUM(Y73:Y76)</f>
        <v>6387702.5466399612</v>
      </c>
    </row>
    <row r="78" spans="1:33" s="390" customFormat="1" ht="15.75" customHeight="1" x14ac:dyDescent="0.25">
      <c r="A78" s="385"/>
      <c r="B78" s="385"/>
      <c r="C78" s="33" t="s">
        <v>274</v>
      </c>
      <c r="D78" s="386">
        <v>558345</v>
      </c>
      <c r="E78" s="387">
        <f>'АПП+Стомат.'!G89/1000+'АПП+Стомат.'!M89/1000+'АПП+Стомат.'!AD89/1000+G73+H73+J73-V73</f>
        <v>2809021.576835501</v>
      </c>
      <c r="F78" s="386">
        <v>4130</v>
      </c>
      <c r="G78" s="388">
        <v>372369.28188000002</v>
      </c>
      <c r="H78" s="387">
        <v>383437.28190999996</v>
      </c>
      <c r="I78" s="386">
        <v>208937</v>
      </c>
      <c r="J78" s="388">
        <v>162064.22765000002</v>
      </c>
      <c r="K78" s="386">
        <v>4018064</v>
      </c>
      <c r="L78" s="387">
        <f>Y78-X78-V78-E78</f>
        <v>3098112.8941971865</v>
      </c>
      <c r="M78" s="386">
        <v>237161</v>
      </c>
      <c r="N78" s="553">
        <v>705568.15833999647</v>
      </c>
      <c r="O78" s="386">
        <v>76742</v>
      </c>
      <c r="P78" s="388">
        <v>106197.89058000312</v>
      </c>
      <c r="Q78" s="386">
        <v>230006</v>
      </c>
      <c r="R78" s="388">
        <v>494081.96890000009</v>
      </c>
      <c r="S78" s="386">
        <v>263289</v>
      </c>
      <c r="T78" s="388">
        <v>346497.99128105969</v>
      </c>
      <c r="U78" s="386">
        <v>2338</v>
      </c>
      <c r="V78" s="502">
        <v>35660.039660000053</v>
      </c>
      <c r="W78" s="386">
        <v>439429</v>
      </c>
      <c r="X78" s="387">
        <v>288109.85211837239</v>
      </c>
      <c r="Y78" s="387">
        <v>6230904.3628110597</v>
      </c>
    </row>
    <row r="79" spans="1:33" s="246" customFormat="1" ht="15.75" customHeight="1" x14ac:dyDescent="0.25">
      <c r="A79" s="232"/>
      <c r="B79" s="232"/>
      <c r="C79" s="551" t="s">
        <v>277</v>
      </c>
      <c r="D79" s="505">
        <f>D77-D78</f>
        <v>0</v>
      </c>
      <c r="E79" s="552">
        <f>E77-E78</f>
        <v>15122.67681445647</v>
      </c>
      <c r="F79" s="505">
        <f>F77-F78</f>
        <v>0</v>
      </c>
      <c r="G79" s="552">
        <f>G77-G78</f>
        <v>0</v>
      </c>
      <c r="H79" s="552">
        <f>H77-H78</f>
        <v>0</v>
      </c>
      <c r="I79" s="505">
        <f t="shared" ref="I79:J79" si="8">I77-I78</f>
        <v>0</v>
      </c>
      <c r="J79" s="552">
        <f t="shared" si="8"/>
        <v>-2.0041654352098703E-5</v>
      </c>
      <c r="K79" s="505">
        <f t="shared" ref="K79:V79" si="9">K77-K78</f>
        <v>-69334</v>
      </c>
      <c r="L79" s="506">
        <f t="shared" si="9"/>
        <v>6652.0495028141886</v>
      </c>
      <c r="M79" s="505">
        <f t="shared" si="9"/>
        <v>0</v>
      </c>
      <c r="N79" s="506">
        <f t="shared" si="9"/>
        <v>5.000352393835783E-5</v>
      </c>
      <c r="O79" s="505">
        <f t="shared" si="9"/>
        <v>0</v>
      </c>
      <c r="P79" s="506">
        <f t="shared" si="9"/>
        <v>-3.1141098588705063E-9</v>
      </c>
      <c r="Q79" s="505">
        <f t="shared" si="9"/>
        <v>0</v>
      </c>
      <c r="R79" s="506">
        <f t="shared" si="9"/>
        <v>0</v>
      </c>
      <c r="S79" s="505">
        <f t="shared" si="9"/>
        <v>0</v>
      </c>
      <c r="T79" s="506">
        <f t="shared" si="9"/>
        <v>-1.0596704669296741E-6</v>
      </c>
      <c r="U79" s="505">
        <f t="shared" si="9"/>
        <v>0</v>
      </c>
      <c r="V79" s="506">
        <f t="shared" si="9"/>
        <v>5.8207660913467407E-11</v>
      </c>
      <c r="W79" s="505">
        <f t="shared" ref="W79:Y79" si="10">W77-W78</f>
        <v>0</v>
      </c>
      <c r="X79" s="506">
        <f t="shared" si="10"/>
        <v>135023.45751162758</v>
      </c>
      <c r="Y79" s="506">
        <f t="shared" si="10"/>
        <v>156798.1838289015</v>
      </c>
    </row>
    <row r="80" spans="1:33" ht="21.75" customHeight="1" x14ac:dyDescent="0.25">
      <c r="B80" s="202">
        <v>1</v>
      </c>
      <c r="C80" s="202">
        <v>2</v>
      </c>
      <c r="D80" s="321">
        <v>3</v>
      </c>
      <c r="E80" s="202">
        <v>4</v>
      </c>
      <c r="F80" s="202">
        <v>5</v>
      </c>
      <c r="G80" s="321">
        <v>6</v>
      </c>
      <c r="H80" s="202">
        <v>7</v>
      </c>
      <c r="I80" s="202">
        <v>8</v>
      </c>
      <c r="J80" s="321">
        <v>9</v>
      </c>
      <c r="K80" s="202">
        <v>10</v>
      </c>
      <c r="L80" s="202">
        <v>11</v>
      </c>
      <c r="M80" s="321">
        <v>12</v>
      </c>
      <c r="N80" s="202">
        <v>13</v>
      </c>
      <c r="O80" s="202">
        <v>14</v>
      </c>
      <c r="P80" s="321">
        <v>15</v>
      </c>
      <c r="Q80" s="202">
        <v>16</v>
      </c>
      <c r="R80" s="202">
        <v>17</v>
      </c>
      <c r="S80" s="321">
        <v>18</v>
      </c>
      <c r="T80" s="202">
        <v>19</v>
      </c>
      <c r="U80" s="202">
        <v>20</v>
      </c>
      <c r="V80" s="321">
        <v>21</v>
      </c>
      <c r="W80" s="202">
        <v>22</v>
      </c>
      <c r="X80" s="202">
        <v>23</v>
      </c>
      <c r="Y80" s="321">
        <v>24</v>
      </c>
    </row>
    <row r="81" spans="3:25" ht="21.75" customHeight="1" x14ac:dyDescent="0.25">
      <c r="C81" s="390"/>
      <c r="E81" s="441"/>
      <c r="H81" s="59"/>
      <c r="L81" s="383"/>
      <c r="Y81" s="506">
        <f>'АПП+Стомат._план'!AU91/1000</f>
        <v>173141.48043</v>
      </c>
    </row>
    <row r="82" spans="3:25" ht="21.75" customHeight="1" x14ac:dyDescent="0.25">
      <c r="E82" s="235"/>
      <c r="K82" s="497">
        <f>M73+O73+Q73</f>
        <v>543909</v>
      </c>
      <c r="L82" s="440">
        <f>N73+P73+R73</f>
        <v>1305848.0178700001</v>
      </c>
    </row>
    <row r="84" spans="3:25" ht="21.75" customHeight="1" x14ac:dyDescent="0.25">
      <c r="L84" s="383"/>
    </row>
  </sheetData>
  <autoFilter ref="A7:AG71" xr:uid="{38793371-FC3A-4DCC-BE29-DC43FF4CA990}">
    <sortState xmlns:xlrd2="http://schemas.microsoft.com/office/spreadsheetml/2017/richdata2" ref="A9:AG71">
      <sortCondition sortBy="fontColor" ref="C7:C71" dxfId="4"/>
    </sortState>
  </autoFilter>
  <sortState xmlns:xlrd2="http://schemas.microsoft.com/office/spreadsheetml/2017/richdata2" ref="A8:AG71">
    <sortCondition ref="A8:A71"/>
  </sortState>
  <mergeCells count="17">
    <mergeCell ref="Q6:R6"/>
    <mergeCell ref="S6:T6"/>
    <mergeCell ref="AF6:AG6"/>
    <mergeCell ref="AB6:AC6"/>
    <mergeCell ref="AD6:AE6"/>
    <mergeCell ref="U6:V6"/>
    <mergeCell ref="W6:X6"/>
    <mergeCell ref="Y6:Y7"/>
    <mergeCell ref="I6:J6"/>
    <mergeCell ref="K6:L6"/>
    <mergeCell ref="M6:N6"/>
    <mergeCell ref="O6:P6"/>
    <mergeCell ref="A6:A7"/>
    <mergeCell ref="B6:B7"/>
    <mergeCell ref="C6:C7"/>
    <mergeCell ref="D6:E6"/>
    <mergeCell ref="F6:G6"/>
  </mergeCells>
  <pageMargins left="0.78740157480314965" right="0.39370078740157483" top="0.78740157480314965" bottom="0.78740157480314965" header="0" footer="0"/>
  <pageSetup paperSize="9" scale="77" fitToHeight="0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A1EDE-5550-4879-A762-1D7FBD216A14}">
  <sheetPr>
    <tabColor theme="4" tint="0.59999389629810485"/>
  </sheetPr>
  <dimension ref="A1:AS96"/>
  <sheetViews>
    <sheetView zoomScale="85" zoomScaleNormal="85" workbookViewId="0">
      <pane xSplit="3" ySplit="3" topLeftCell="Q40" activePane="bottomRight" state="frozen"/>
      <selection pane="topRight" activeCell="D1" sqref="D1"/>
      <selection pane="bottomLeft" activeCell="A4" sqref="A4"/>
      <selection pane="bottomRight" activeCell="Q58" sqref="Q58"/>
    </sheetView>
  </sheetViews>
  <sheetFormatPr defaultColWidth="9.140625" defaultRowHeight="15" x14ac:dyDescent="0.25"/>
  <cols>
    <col min="1" max="1" width="4.140625" style="259" customWidth="1"/>
    <col min="2" max="2" width="8.5703125" style="259" customWidth="1"/>
    <col min="3" max="3" width="32.140625" style="68" customWidth="1"/>
    <col min="4" max="4" width="18.5703125" style="68" bestFit="1" customWidth="1"/>
    <col min="5" max="5" width="16.5703125" style="324" customWidth="1"/>
    <col min="6" max="6" width="13.140625" style="259" customWidth="1"/>
    <col min="7" max="7" width="15.42578125" style="259" customWidth="1"/>
    <col min="8" max="8" width="13" style="259" customWidth="1"/>
    <col min="9" max="9" width="16" style="259" customWidth="1"/>
    <col min="10" max="10" width="13.5703125" style="259" customWidth="1"/>
    <col min="11" max="11" width="16.7109375" style="259" customWidth="1"/>
    <col min="12" max="12" width="10" style="327" customWidth="1"/>
    <col min="13" max="13" width="14.85546875" style="328" customWidth="1"/>
    <col min="14" max="14" width="8.7109375" style="259" customWidth="1"/>
    <col min="15" max="15" width="15.5703125" style="259" customWidth="1"/>
    <col min="16" max="16" width="18" style="259" customWidth="1"/>
    <col min="17" max="17" width="11.42578125" style="259" customWidth="1"/>
    <col min="18" max="18" width="15" style="259" customWidth="1"/>
    <col min="19" max="19" width="8.7109375" style="259" bestFit="1" customWidth="1"/>
    <col min="20" max="20" width="13.85546875" style="259" customWidth="1"/>
    <col min="21" max="21" width="9.7109375" style="260" customWidth="1"/>
    <col min="22" max="22" width="14.28515625" style="260" customWidth="1"/>
    <col min="23" max="23" width="9.140625" style="260" customWidth="1"/>
    <col min="24" max="24" width="15.7109375" style="260" customWidth="1"/>
    <col min="25" max="25" width="9.42578125" style="260" customWidth="1"/>
    <col min="26" max="26" width="14.7109375" style="260" customWidth="1"/>
    <col min="27" max="27" width="11.5703125" style="260" customWidth="1"/>
    <col min="28" max="28" width="16.140625" style="260" customWidth="1"/>
    <col min="29" max="29" width="9.140625" style="130" bestFit="1" customWidth="1"/>
    <col min="30" max="30" width="16.5703125" style="319" bestFit="1" customWidth="1"/>
    <col min="31" max="31" width="9.140625" style="319" bestFit="1" customWidth="1"/>
    <col min="32" max="32" width="16.5703125" style="319" bestFit="1" customWidth="1"/>
    <col min="33" max="33" width="8.7109375" style="319" bestFit="1" customWidth="1"/>
    <col min="34" max="34" width="14.42578125" style="319" customWidth="1"/>
    <col min="35" max="35" width="11.28515625" style="329" customWidth="1"/>
    <col min="36" max="36" width="12.5703125" style="329" customWidth="1"/>
    <col min="37" max="37" width="12.140625" style="330" customWidth="1"/>
    <col min="38" max="38" width="18.28515625" style="330" customWidth="1"/>
    <col min="39" max="39" width="18.5703125" style="329" bestFit="1" customWidth="1"/>
    <col min="40" max="40" width="17.140625" style="126" customWidth="1"/>
    <col min="41" max="41" width="16.5703125" style="319" hidden="1" customWidth="1"/>
    <col min="42" max="42" width="6.85546875" style="259" hidden="1" customWidth="1"/>
    <col min="43" max="43" width="17.85546875" style="336" hidden="1" customWidth="1"/>
    <col min="44" max="44" width="18.28515625" style="259" hidden="1" customWidth="1"/>
    <col min="45" max="45" width="17.7109375" style="260" customWidth="1"/>
    <col min="46" max="16384" width="9.140625" style="259"/>
  </cols>
  <sheetData>
    <row r="1" spans="1:45" s="68" customFormat="1" ht="60" customHeight="1" x14ac:dyDescent="0.25">
      <c r="A1" s="620" t="s">
        <v>4</v>
      </c>
      <c r="B1" s="620" t="s">
        <v>163</v>
      </c>
      <c r="C1" s="620" t="s">
        <v>162</v>
      </c>
      <c r="D1" s="239" t="s">
        <v>269</v>
      </c>
      <c r="E1" s="241" t="s">
        <v>273</v>
      </c>
      <c r="F1" s="618" t="s">
        <v>161</v>
      </c>
      <c r="G1" s="619"/>
      <c r="H1" s="622" t="s">
        <v>157</v>
      </c>
      <c r="I1" s="623"/>
      <c r="J1" s="618" t="s">
        <v>232</v>
      </c>
      <c r="K1" s="619"/>
      <c r="L1" s="605" t="s">
        <v>218</v>
      </c>
      <c r="M1" s="606"/>
      <c r="N1" s="615" t="s">
        <v>158</v>
      </c>
      <c r="O1" s="616"/>
      <c r="P1" s="241" t="s">
        <v>270</v>
      </c>
      <c r="Q1" s="605" t="s">
        <v>224</v>
      </c>
      <c r="R1" s="606"/>
      <c r="S1" s="607" t="s">
        <v>212</v>
      </c>
      <c r="T1" s="617"/>
      <c r="U1" s="605" t="s">
        <v>155</v>
      </c>
      <c r="V1" s="606"/>
      <c r="W1" s="607" t="s">
        <v>210</v>
      </c>
      <c r="X1" s="617"/>
      <c r="Y1" s="605" t="s">
        <v>152</v>
      </c>
      <c r="Z1" s="606"/>
      <c r="AA1" s="607" t="s">
        <v>188</v>
      </c>
      <c r="AB1" s="608"/>
      <c r="AC1" s="609" t="s">
        <v>150</v>
      </c>
      <c r="AD1" s="610"/>
      <c r="AE1" s="609" t="s">
        <v>149</v>
      </c>
      <c r="AF1" s="610"/>
      <c r="AG1" s="611" t="s">
        <v>148</v>
      </c>
      <c r="AH1" s="612"/>
      <c r="AI1" s="613" t="s">
        <v>221</v>
      </c>
      <c r="AJ1" s="613"/>
      <c r="AK1" s="613"/>
      <c r="AL1" s="613"/>
      <c r="AM1" s="614"/>
      <c r="AN1" s="242" t="s">
        <v>75</v>
      </c>
      <c r="AO1" s="243" t="s">
        <v>166</v>
      </c>
      <c r="AP1" s="202"/>
      <c r="AQ1" s="244" t="s">
        <v>172</v>
      </c>
      <c r="AR1" s="202" t="s">
        <v>178</v>
      </c>
      <c r="AS1" s="547" t="s">
        <v>272</v>
      </c>
    </row>
    <row r="2" spans="1:45" s="254" customFormat="1" ht="21.75" customHeight="1" x14ac:dyDescent="0.25">
      <c r="A2" s="621"/>
      <c r="B2" s="621"/>
      <c r="C2" s="621"/>
      <c r="D2" s="248" t="s">
        <v>147</v>
      </c>
      <c r="E2" s="72" t="s">
        <v>147</v>
      </c>
      <c r="F2" s="248" t="s">
        <v>12</v>
      </c>
      <c r="G2" s="248" t="s">
        <v>147</v>
      </c>
      <c r="H2" s="248" t="s">
        <v>12</v>
      </c>
      <c r="I2" s="248" t="s">
        <v>147</v>
      </c>
      <c r="J2" s="248" t="s">
        <v>12</v>
      </c>
      <c r="K2" s="248" t="s">
        <v>147</v>
      </c>
      <c r="L2" s="250" t="s">
        <v>12</v>
      </c>
      <c r="M2" s="251" t="s">
        <v>147</v>
      </c>
      <c r="N2" s="248" t="s">
        <v>12</v>
      </c>
      <c r="O2" s="248" t="s">
        <v>147</v>
      </c>
      <c r="P2" s="248" t="s">
        <v>147</v>
      </c>
      <c r="Q2" s="250" t="s">
        <v>12</v>
      </c>
      <c r="R2" s="250" t="s">
        <v>147</v>
      </c>
      <c r="S2" s="248" t="s">
        <v>12</v>
      </c>
      <c r="T2" s="248" t="s">
        <v>147</v>
      </c>
      <c r="U2" s="250" t="s">
        <v>12</v>
      </c>
      <c r="V2" s="250" t="s">
        <v>147</v>
      </c>
      <c r="W2" s="250" t="s">
        <v>12</v>
      </c>
      <c r="X2" s="250" t="s">
        <v>147</v>
      </c>
      <c r="Y2" s="250" t="s">
        <v>12</v>
      </c>
      <c r="Z2" s="250" t="s">
        <v>147</v>
      </c>
      <c r="AA2" s="250" t="s">
        <v>12</v>
      </c>
      <c r="AB2" s="520" t="s">
        <v>147</v>
      </c>
      <c r="AC2" s="252" t="s">
        <v>12</v>
      </c>
      <c r="AD2" s="252" t="s">
        <v>147</v>
      </c>
      <c r="AE2" s="252" t="s">
        <v>12</v>
      </c>
      <c r="AF2" s="252" t="s">
        <v>147</v>
      </c>
      <c r="AG2" s="252" t="s">
        <v>12</v>
      </c>
      <c r="AH2" s="252" t="s">
        <v>147</v>
      </c>
      <c r="AI2" s="521" t="s">
        <v>220</v>
      </c>
      <c r="AJ2" s="72" t="s">
        <v>219</v>
      </c>
      <c r="AK2" s="253" t="s">
        <v>222</v>
      </c>
      <c r="AL2" s="72" t="s">
        <v>223</v>
      </c>
      <c r="AM2" s="72" t="s">
        <v>147</v>
      </c>
      <c r="AN2" s="248" t="s">
        <v>147</v>
      </c>
      <c r="AO2" s="252" t="s">
        <v>147</v>
      </c>
      <c r="AQ2" s="248" t="s">
        <v>147</v>
      </c>
      <c r="AR2" s="248" t="s">
        <v>147</v>
      </c>
      <c r="AS2" s="255"/>
    </row>
    <row r="3" spans="1:45" ht="18.75" customHeight="1" x14ac:dyDescent="0.25">
      <c r="A3" s="247"/>
      <c r="B3" s="256">
        <v>1</v>
      </c>
      <c r="C3" s="257">
        <v>2</v>
      </c>
      <c r="D3" s="256">
        <v>3</v>
      </c>
      <c r="E3" s="257">
        <v>4</v>
      </c>
      <c r="F3" s="256">
        <v>5</v>
      </c>
      <c r="G3" s="257">
        <v>6</v>
      </c>
      <c r="H3" s="256">
        <v>7</v>
      </c>
      <c r="I3" s="257">
        <v>8</v>
      </c>
      <c r="J3" s="256">
        <v>9</v>
      </c>
      <c r="K3" s="257">
        <v>10</v>
      </c>
      <c r="L3" s="256">
        <v>11</v>
      </c>
      <c r="M3" s="257">
        <v>12</v>
      </c>
      <c r="N3" s="256">
        <v>13</v>
      </c>
      <c r="O3" s="257">
        <v>14</v>
      </c>
      <c r="P3" s="256">
        <v>15</v>
      </c>
      <c r="Q3" s="257">
        <v>16</v>
      </c>
      <c r="R3" s="256">
        <v>17</v>
      </c>
      <c r="S3" s="257">
        <v>18</v>
      </c>
      <c r="T3" s="256">
        <v>19</v>
      </c>
      <c r="U3" s="257">
        <v>20</v>
      </c>
      <c r="V3" s="256">
        <v>21</v>
      </c>
      <c r="W3" s="257">
        <v>22</v>
      </c>
      <c r="X3" s="256">
        <v>23</v>
      </c>
      <c r="Y3" s="257">
        <v>24</v>
      </c>
      <c r="Z3" s="256">
        <v>25</v>
      </c>
      <c r="AA3" s="257">
        <v>26</v>
      </c>
      <c r="AB3" s="257">
        <v>27</v>
      </c>
      <c r="AC3" s="257">
        <v>28</v>
      </c>
      <c r="AD3" s="256">
        <v>29</v>
      </c>
      <c r="AE3" s="257">
        <v>30</v>
      </c>
      <c r="AF3" s="256">
        <v>31</v>
      </c>
      <c r="AG3" s="257">
        <v>32</v>
      </c>
      <c r="AH3" s="256">
        <v>33</v>
      </c>
      <c r="AI3" s="522">
        <v>34</v>
      </c>
      <c r="AJ3" s="256">
        <v>35</v>
      </c>
      <c r="AK3" s="257">
        <v>36</v>
      </c>
      <c r="AL3" s="256">
        <v>37</v>
      </c>
      <c r="AM3" s="257">
        <v>38</v>
      </c>
      <c r="AN3" s="256">
        <v>39</v>
      </c>
      <c r="AO3" s="257">
        <v>40</v>
      </c>
      <c r="AP3" s="257"/>
      <c r="AQ3" s="257">
        <v>42</v>
      </c>
      <c r="AR3" s="257">
        <v>43</v>
      </c>
      <c r="AS3" s="257">
        <v>44</v>
      </c>
    </row>
    <row r="4" spans="1:45" ht="18" customHeight="1" x14ac:dyDescent="0.25">
      <c r="A4" s="261">
        <v>1</v>
      </c>
      <c r="B4" s="5">
        <v>390930</v>
      </c>
      <c r="C4" s="6" t="s">
        <v>180</v>
      </c>
      <c r="D4" s="262"/>
      <c r="E4" s="263"/>
      <c r="F4" s="262"/>
      <c r="G4" s="262"/>
      <c r="H4" s="262"/>
      <c r="I4" s="262"/>
      <c r="J4" s="264"/>
      <c r="K4" s="262"/>
      <c r="L4" s="494">
        <v>0</v>
      </c>
      <c r="M4" s="495">
        <v>0</v>
      </c>
      <c r="N4" s="264"/>
      <c r="O4" s="262"/>
      <c r="P4" s="267">
        <v>21813638.699999999</v>
      </c>
      <c r="Q4" s="494">
        <v>19189</v>
      </c>
      <c r="R4" s="495">
        <v>15202192.469999995</v>
      </c>
      <c r="S4" s="264"/>
      <c r="T4" s="262"/>
      <c r="U4" s="268"/>
      <c r="V4" s="269"/>
      <c r="W4" s="268"/>
      <c r="X4" s="269"/>
      <c r="Y4" s="268"/>
      <c r="Z4" s="269"/>
      <c r="AA4" s="268"/>
      <c r="AB4" s="523"/>
      <c r="AC4" s="524">
        <v>0</v>
      </c>
      <c r="AD4" s="271">
        <v>0</v>
      </c>
      <c r="AE4" s="270">
        <v>0</v>
      </c>
      <c r="AF4" s="271">
        <v>0</v>
      </c>
      <c r="AG4" s="270">
        <v>0</v>
      </c>
      <c r="AH4" s="525">
        <v>0</v>
      </c>
      <c r="AI4" s="526">
        <f>L4+N4+S4</f>
        <v>0</v>
      </c>
      <c r="AJ4" s="272">
        <f>Q4+U4+W4+Y4+AA4+AE4+AG4</f>
        <v>19189</v>
      </c>
      <c r="AK4" s="273">
        <f>U4+Y4+AA4</f>
        <v>0</v>
      </c>
      <c r="AL4" s="274">
        <f>V4+Z4+AB4</f>
        <v>0</v>
      </c>
      <c r="AM4" s="275">
        <f>R4+M4+O4+P4+T4+V4+X4+Z4+AB4+AD4+AF4+AH4</f>
        <v>37015831.169999994</v>
      </c>
      <c r="AN4" s="276">
        <f>D4+AM4</f>
        <v>37015831.169999994</v>
      </c>
      <c r="AO4" s="277">
        <f t="shared" ref="AO4:AO68" si="0">AM4-P4</f>
        <v>15202192.469999995</v>
      </c>
      <c r="AP4" s="331"/>
      <c r="AQ4" s="278">
        <f>AN4-AH4-AF4-AD4</f>
        <v>37015831.169999994</v>
      </c>
      <c r="AR4" s="331">
        <v>37015831.169999994</v>
      </c>
      <c r="AS4" s="281">
        <f>AR4-AN4</f>
        <v>0</v>
      </c>
    </row>
    <row r="5" spans="1:45" ht="18" customHeight="1" x14ac:dyDescent="0.25">
      <c r="A5" s="261">
        <v>2</v>
      </c>
      <c r="B5" s="5">
        <v>390800</v>
      </c>
      <c r="C5" s="6" t="s">
        <v>89</v>
      </c>
      <c r="D5" s="282"/>
      <c r="E5" s="263"/>
      <c r="F5" s="262"/>
      <c r="G5" s="262"/>
      <c r="H5" s="262"/>
      <c r="I5" s="262"/>
      <c r="J5" s="264"/>
      <c r="K5" s="262"/>
      <c r="L5" s="494">
        <v>150</v>
      </c>
      <c r="M5" s="495">
        <v>408837</v>
      </c>
      <c r="N5" s="264"/>
      <c r="O5" s="262"/>
      <c r="P5" s="267">
        <v>38919605.5</v>
      </c>
      <c r="Q5" s="494">
        <v>90597</v>
      </c>
      <c r="R5" s="495">
        <v>78767598.079999983</v>
      </c>
      <c r="S5" s="264"/>
      <c r="T5" s="262"/>
      <c r="U5" s="268"/>
      <c r="V5" s="269"/>
      <c r="W5" s="268"/>
      <c r="X5" s="269"/>
      <c r="Y5" s="268"/>
      <c r="Z5" s="269"/>
      <c r="AA5" s="268"/>
      <c r="AB5" s="523"/>
      <c r="AC5" s="524">
        <v>0</v>
      </c>
      <c r="AD5" s="271">
        <v>0</v>
      </c>
      <c r="AE5" s="270">
        <v>0</v>
      </c>
      <c r="AF5" s="271">
        <v>0</v>
      </c>
      <c r="AG5" s="270">
        <v>0</v>
      </c>
      <c r="AH5" s="525">
        <v>0</v>
      </c>
      <c r="AI5" s="526">
        <f t="shared" ref="AI5:AI15" si="1">L5+N5+S5</f>
        <v>150</v>
      </c>
      <c r="AJ5" s="272">
        <f t="shared" ref="AJ5:AJ15" si="2">Q5+U5+W5+Y5+AA5+AE5+AG5</f>
        <v>90597</v>
      </c>
      <c r="AK5" s="273">
        <f t="shared" ref="AK5:AL69" si="3">U5+Y5+AA5</f>
        <v>0</v>
      </c>
      <c r="AL5" s="274">
        <f t="shared" si="3"/>
        <v>0</v>
      </c>
      <c r="AM5" s="275">
        <f>R5+M5+O5+P5+T5+V5+X5+Z5+AB5+AD5+AF5+AH5</f>
        <v>118096040.57999998</v>
      </c>
      <c r="AN5" s="276">
        <f t="shared" ref="AN5:AN7" si="4">D5+AM5</f>
        <v>118096040.57999998</v>
      </c>
      <c r="AO5" s="277">
        <f>AM5-P5</f>
        <v>79176435.079999983</v>
      </c>
      <c r="AP5" s="331"/>
      <c r="AQ5" s="278">
        <f t="shared" ref="AQ5:AQ69" si="5">AN5-AH5-AF5-AD5</f>
        <v>118096040.57999998</v>
      </c>
      <c r="AR5" s="331">
        <v>118096040.57999998</v>
      </c>
      <c r="AS5" s="281">
        <f t="shared" ref="AS5:AS68" si="6">AR5-AN5</f>
        <v>0</v>
      </c>
    </row>
    <row r="6" spans="1:45" ht="18" customHeight="1" x14ac:dyDescent="0.25">
      <c r="A6" s="261">
        <v>3</v>
      </c>
      <c r="B6" s="5">
        <v>391100</v>
      </c>
      <c r="C6" s="6" t="s">
        <v>103</v>
      </c>
      <c r="D6" s="262"/>
      <c r="E6" s="263"/>
      <c r="F6" s="262"/>
      <c r="G6" s="262"/>
      <c r="H6" s="262"/>
      <c r="I6" s="262"/>
      <c r="J6" s="264"/>
      <c r="K6" s="262"/>
      <c r="L6" s="494">
        <v>0</v>
      </c>
      <c r="M6" s="495">
        <v>0</v>
      </c>
      <c r="N6" s="264"/>
      <c r="O6" s="262"/>
      <c r="P6" s="267">
        <v>18154401.199999999</v>
      </c>
      <c r="Q6" s="494">
        <v>5066</v>
      </c>
      <c r="R6" s="495">
        <v>3383429.4199999943</v>
      </c>
      <c r="S6" s="264"/>
      <c r="T6" s="262"/>
      <c r="U6" s="268"/>
      <c r="V6" s="269"/>
      <c r="W6" s="268"/>
      <c r="X6" s="269"/>
      <c r="Y6" s="268"/>
      <c r="Z6" s="269"/>
      <c r="AA6" s="268"/>
      <c r="AB6" s="523"/>
      <c r="AC6" s="524">
        <v>0</v>
      </c>
      <c r="AD6" s="271">
        <v>0</v>
      </c>
      <c r="AE6" s="270">
        <v>0</v>
      </c>
      <c r="AF6" s="271">
        <v>0</v>
      </c>
      <c r="AG6" s="270">
        <v>0</v>
      </c>
      <c r="AH6" s="525">
        <v>0</v>
      </c>
      <c r="AI6" s="526">
        <f t="shared" si="1"/>
        <v>0</v>
      </c>
      <c r="AJ6" s="272">
        <f t="shared" si="2"/>
        <v>5066</v>
      </c>
      <c r="AK6" s="273">
        <f t="shared" si="3"/>
        <v>0</v>
      </c>
      <c r="AL6" s="274">
        <f t="shared" si="3"/>
        <v>0</v>
      </c>
      <c r="AM6" s="275">
        <f t="shared" ref="AM6:AM68" si="7">R6+M6+O6+P6+T6+V6+X6+Z6+AB6+AD6+AF6+AH6</f>
        <v>21537830.619999994</v>
      </c>
      <c r="AN6" s="276">
        <f t="shared" si="4"/>
        <v>21537830.619999994</v>
      </c>
      <c r="AO6" s="277">
        <f t="shared" si="0"/>
        <v>3383429.4199999943</v>
      </c>
      <c r="AP6" s="331"/>
      <c r="AQ6" s="278">
        <f t="shared" si="5"/>
        <v>21537830.619999994</v>
      </c>
      <c r="AR6" s="331">
        <v>21537830.619999994</v>
      </c>
      <c r="AS6" s="281">
        <f t="shared" si="6"/>
        <v>0</v>
      </c>
    </row>
    <row r="7" spans="1:45" ht="18" customHeight="1" x14ac:dyDescent="0.25">
      <c r="A7" s="261">
        <v>4</v>
      </c>
      <c r="B7" s="5">
        <v>390470</v>
      </c>
      <c r="C7" s="6" t="s">
        <v>88</v>
      </c>
      <c r="D7" s="262"/>
      <c r="E7" s="263"/>
      <c r="F7" s="262"/>
      <c r="G7" s="262"/>
      <c r="H7" s="262"/>
      <c r="I7" s="262"/>
      <c r="J7" s="264"/>
      <c r="K7" s="262"/>
      <c r="L7" s="494">
        <v>4931</v>
      </c>
      <c r="M7" s="495">
        <v>7956160.4199999999</v>
      </c>
      <c r="N7" s="264"/>
      <c r="O7" s="262"/>
      <c r="P7" s="267">
        <v>239884227.69999999</v>
      </c>
      <c r="Q7" s="494">
        <v>182058</v>
      </c>
      <c r="R7" s="495">
        <v>130538939.78999998</v>
      </c>
      <c r="S7" s="264"/>
      <c r="T7" s="262"/>
      <c r="U7" s="268"/>
      <c r="V7" s="269"/>
      <c r="W7" s="268"/>
      <c r="X7" s="269"/>
      <c r="Y7" s="268"/>
      <c r="Z7" s="269"/>
      <c r="AA7" s="268"/>
      <c r="AB7" s="523"/>
      <c r="AC7" s="524">
        <v>0</v>
      </c>
      <c r="AD7" s="271">
        <v>0</v>
      </c>
      <c r="AE7" s="270">
        <v>0</v>
      </c>
      <c r="AF7" s="271">
        <v>0</v>
      </c>
      <c r="AG7" s="270">
        <v>0</v>
      </c>
      <c r="AH7" s="525">
        <v>0</v>
      </c>
      <c r="AI7" s="526">
        <f t="shared" si="1"/>
        <v>4931</v>
      </c>
      <c r="AJ7" s="272">
        <f t="shared" si="2"/>
        <v>182058</v>
      </c>
      <c r="AK7" s="273">
        <f t="shared" si="3"/>
        <v>0</v>
      </c>
      <c r="AL7" s="274">
        <f t="shared" si="3"/>
        <v>0</v>
      </c>
      <c r="AM7" s="275">
        <f t="shared" si="7"/>
        <v>378379327.90999997</v>
      </c>
      <c r="AN7" s="276">
        <f t="shared" si="4"/>
        <v>378379327.90999997</v>
      </c>
      <c r="AO7" s="277">
        <f>AM7-P7</f>
        <v>138495100.20999998</v>
      </c>
      <c r="AP7" s="331"/>
      <c r="AQ7" s="278">
        <f t="shared" si="5"/>
        <v>378379327.90999997</v>
      </c>
      <c r="AR7" s="331">
        <v>378379327.90999997</v>
      </c>
      <c r="AS7" s="281">
        <f t="shared" si="6"/>
        <v>0</v>
      </c>
    </row>
    <row r="8" spans="1:45" ht="18" customHeight="1" x14ac:dyDescent="0.25">
      <c r="A8" s="261">
        <v>5</v>
      </c>
      <c r="B8" s="5">
        <v>390762</v>
      </c>
      <c r="C8" s="6" t="s">
        <v>278</v>
      </c>
      <c r="D8" s="507">
        <v>28115.340000000011</v>
      </c>
      <c r="E8" s="263"/>
      <c r="F8" s="262"/>
      <c r="G8" s="262"/>
      <c r="H8" s="527">
        <v>60</v>
      </c>
      <c r="I8" s="267">
        <v>28115.340000000011</v>
      </c>
      <c r="J8" s="264"/>
      <c r="K8" s="262"/>
      <c r="L8" s="494"/>
      <c r="M8" s="495"/>
      <c r="N8" s="284"/>
      <c r="O8" s="285"/>
      <c r="P8" s="267">
        <v>0</v>
      </c>
      <c r="Q8" s="494">
        <v>11301</v>
      </c>
      <c r="R8" s="495">
        <v>1561642.4999999946</v>
      </c>
      <c r="S8" s="527">
        <v>881</v>
      </c>
      <c r="T8" s="267">
        <v>15122676.800000101</v>
      </c>
      <c r="U8" s="268"/>
      <c r="V8" s="269"/>
      <c r="W8" s="268"/>
      <c r="X8" s="269"/>
      <c r="Y8" s="268"/>
      <c r="Z8" s="269"/>
      <c r="AA8" s="268"/>
      <c r="AB8" s="523"/>
      <c r="AC8" s="524">
        <v>0</v>
      </c>
      <c r="AD8" s="271">
        <v>0</v>
      </c>
      <c r="AE8" s="270">
        <v>0</v>
      </c>
      <c r="AF8" s="271">
        <v>0</v>
      </c>
      <c r="AG8" s="270">
        <v>0</v>
      </c>
      <c r="AH8" s="525">
        <v>0</v>
      </c>
      <c r="AI8" s="526">
        <f t="shared" si="1"/>
        <v>881</v>
      </c>
      <c r="AJ8" s="272">
        <f t="shared" si="2"/>
        <v>11301</v>
      </c>
      <c r="AK8" s="273">
        <f t="shared" si="3"/>
        <v>0</v>
      </c>
      <c r="AL8" s="274">
        <f t="shared" si="3"/>
        <v>0</v>
      </c>
      <c r="AM8" s="275">
        <f>R8+M8+O8+P8+T8+V8+X8+Z8+AB8+AD8+AF8+AH8</f>
        <v>16684319.300000096</v>
      </c>
      <c r="AN8" s="276">
        <f>D8+AM8</f>
        <v>16712434.640000096</v>
      </c>
      <c r="AO8" s="277">
        <f t="shared" si="0"/>
        <v>16684319.300000096</v>
      </c>
      <c r="AP8" s="331"/>
      <c r="AQ8" s="278">
        <f t="shared" si="5"/>
        <v>16712434.640000096</v>
      </c>
      <c r="AR8" s="331">
        <v>16712434.640000096</v>
      </c>
      <c r="AS8" s="281">
        <f t="shared" si="6"/>
        <v>0</v>
      </c>
    </row>
    <row r="9" spans="1:45" ht="18" customHeight="1" x14ac:dyDescent="0.25">
      <c r="A9" s="261">
        <v>6</v>
      </c>
      <c r="B9" s="5">
        <v>390050</v>
      </c>
      <c r="C9" s="6" t="s">
        <v>98</v>
      </c>
      <c r="D9" s="262"/>
      <c r="E9" s="263"/>
      <c r="F9" s="262"/>
      <c r="G9" s="262"/>
      <c r="H9" s="262"/>
      <c r="I9" s="262"/>
      <c r="J9" s="264"/>
      <c r="K9" s="262"/>
      <c r="L9" s="494">
        <v>23284</v>
      </c>
      <c r="M9" s="495">
        <v>31832953.440000001</v>
      </c>
      <c r="N9" s="264"/>
      <c r="O9" s="262"/>
      <c r="P9" s="267">
        <v>12376878.5</v>
      </c>
      <c r="Q9" s="494">
        <v>53897</v>
      </c>
      <c r="R9" s="495">
        <v>19972992.839999955</v>
      </c>
      <c r="S9" s="264"/>
      <c r="T9" s="262"/>
      <c r="U9" s="268"/>
      <c r="V9" s="269"/>
      <c r="W9" s="268"/>
      <c r="X9" s="269"/>
      <c r="Y9" s="268"/>
      <c r="Z9" s="269"/>
      <c r="AA9" s="268"/>
      <c r="AB9" s="523"/>
      <c r="AC9" s="524">
        <v>0</v>
      </c>
      <c r="AD9" s="271">
        <v>0</v>
      </c>
      <c r="AE9" s="270">
        <v>0</v>
      </c>
      <c r="AF9" s="271">
        <v>0</v>
      </c>
      <c r="AG9" s="270">
        <v>0</v>
      </c>
      <c r="AH9" s="525">
        <v>0</v>
      </c>
      <c r="AI9" s="526">
        <f t="shared" si="1"/>
        <v>23284</v>
      </c>
      <c r="AJ9" s="272">
        <f t="shared" si="2"/>
        <v>53897</v>
      </c>
      <c r="AK9" s="273">
        <f t="shared" si="3"/>
        <v>0</v>
      </c>
      <c r="AL9" s="274">
        <f t="shared" si="3"/>
        <v>0</v>
      </c>
      <c r="AM9" s="275">
        <f t="shared" si="7"/>
        <v>64182824.779999956</v>
      </c>
      <c r="AN9" s="276">
        <f t="shared" ref="AN9:AN15" si="8">D9+AM9</f>
        <v>64182824.779999956</v>
      </c>
      <c r="AO9" s="277">
        <f t="shared" si="0"/>
        <v>51805946.279999956</v>
      </c>
      <c r="AP9" s="331"/>
      <c r="AQ9" s="278">
        <f t="shared" si="5"/>
        <v>64182824.779999956</v>
      </c>
      <c r="AR9" s="331">
        <v>64182824.779999956</v>
      </c>
      <c r="AS9" s="281">
        <f t="shared" si="6"/>
        <v>0</v>
      </c>
    </row>
    <row r="10" spans="1:45" ht="18" customHeight="1" x14ac:dyDescent="0.25">
      <c r="A10" s="261">
        <v>7</v>
      </c>
      <c r="B10" s="5">
        <v>390070</v>
      </c>
      <c r="C10" s="6" t="s">
        <v>87</v>
      </c>
      <c r="D10" s="262"/>
      <c r="E10" s="263"/>
      <c r="F10" s="262"/>
      <c r="G10" s="262"/>
      <c r="H10" s="262"/>
      <c r="I10" s="262"/>
      <c r="J10" s="264"/>
      <c r="K10" s="262"/>
      <c r="L10" s="494">
        <v>0</v>
      </c>
      <c r="M10" s="495">
        <v>0</v>
      </c>
      <c r="N10" s="264"/>
      <c r="O10" s="262"/>
      <c r="P10" s="267">
        <v>36961787.68</v>
      </c>
      <c r="Q10" s="494">
        <v>53381</v>
      </c>
      <c r="R10" s="495">
        <v>60404886.780000098</v>
      </c>
      <c r="S10" s="264"/>
      <c r="T10" s="262"/>
      <c r="U10" s="268"/>
      <c r="V10" s="269"/>
      <c r="W10" s="268"/>
      <c r="X10" s="269"/>
      <c r="Y10" s="268"/>
      <c r="Z10" s="269"/>
      <c r="AA10" s="268"/>
      <c r="AB10" s="523"/>
      <c r="AC10" s="524">
        <v>0</v>
      </c>
      <c r="AD10" s="271">
        <v>0</v>
      </c>
      <c r="AE10" s="270">
        <v>0</v>
      </c>
      <c r="AF10" s="271">
        <v>0</v>
      </c>
      <c r="AG10" s="270">
        <v>0</v>
      </c>
      <c r="AH10" s="525">
        <v>0</v>
      </c>
      <c r="AI10" s="526">
        <f t="shared" si="1"/>
        <v>0</v>
      </c>
      <c r="AJ10" s="272">
        <f t="shared" si="2"/>
        <v>53381</v>
      </c>
      <c r="AK10" s="273">
        <f t="shared" si="3"/>
        <v>0</v>
      </c>
      <c r="AL10" s="274">
        <f t="shared" si="3"/>
        <v>0</v>
      </c>
      <c r="AM10" s="275">
        <f t="shared" si="7"/>
        <v>97366674.460000098</v>
      </c>
      <c r="AN10" s="276">
        <f t="shared" si="8"/>
        <v>97366674.460000098</v>
      </c>
      <c r="AO10" s="277">
        <f t="shared" si="0"/>
        <v>60404886.780000098</v>
      </c>
      <c r="AP10" s="331"/>
      <c r="AQ10" s="278">
        <f t="shared" si="5"/>
        <v>97366674.460000098</v>
      </c>
      <c r="AR10" s="331">
        <v>97366674.460000098</v>
      </c>
      <c r="AS10" s="281">
        <f t="shared" si="6"/>
        <v>0</v>
      </c>
    </row>
    <row r="11" spans="1:45" ht="18" customHeight="1" x14ac:dyDescent="0.25">
      <c r="A11" s="261">
        <v>8</v>
      </c>
      <c r="B11" s="5">
        <v>390520</v>
      </c>
      <c r="C11" s="6" t="s">
        <v>112</v>
      </c>
      <c r="D11" s="262"/>
      <c r="E11" s="263"/>
      <c r="F11" s="262"/>
      <c r="G11" s="262"/>
      <c r="H11" s="262"/>
      <c r="I11" s="262"/>
      <c r="J11" s="264"/>
      <c r="K11" s="262"/>
      <c r="L11" s="494">
        <v>0</v>
      </c>
      <c r="M11" s="495">
        <v>0</v>
      </c>
      <c r="N11" s="264"/>
      <c r="O11" s="262"/>
      <c r="P11" s="267">
        <v>0</v>
      </c>
      <c r="Q11" s="494">
        <v>50443</v>
      </c>
      <c r="R11" s="495">
        <v>33837164.400000215</v>
      </c>
      <c r="S11" s="264"/>
      <c r="T11" s="262"/>
      <c r="U11" s="268"/>
      <c r="V11" s="269"/>
      <c r="W11" s="268"/>
      <c r="X11" s="269"/>
      <c r="Y11" s="268"/>
      <c r="Z11" s="269"/>
      <c r="AA11" s="268"/>
      <c r="AB11" s="523"/>
      <c r="AC11" s="524">
        <v>0</v>
      </c>
      <c r="AD11" s="271">
        <v>0</v>
      </c>
      <c r="AE11" s="270">
        <v>0</v>
      </c>
      <c r="AF11" s="271">
        <v>0</v>
      </c>
      <c r="AG11" s="270">
        <v>0</v>
      </c>
      <c r="AH11" s="525">
        <v>0</v>
      </c>
      <c r="AI11" s="526">
        <f t="shared" si="1"/>
        <v>0</v>
      </c>
      <c r="AJ11" s="272">
        <f t="shared" si="2"/>
        <v>50443</v>
      </c>
      <c r="AK11" s="273">
        <f t="shared" si="3"/>
        <v>0</v>
      </c>
      <c r="AL11" s="274">
        <f t="shared" si="3"/>
        <v>0</v>
      </c>
      <c r="AM11" s="275">
        <f t="shared" si="7"/>
        <v>33837164.400000215</v>
      </c>
      <c r="AN11" s="276">
        <f t="shared" si="8"/>
        <v>33837164.400000215</v>
      </c>
      <c r="AO11" s="277">
        <f t="shared" si="0"/>
        <v>33837164.400000215</v>
      </c>
      <c r="AP11" s="331"/>
      <c r="AQ11" s="278">
        <f t="shared" si="5"/>
        <v>33837164.400000215</v>
      </c>
      <c r="AR11" s="331">
        <v>33837164.400000215</v>
      </c>
      <c r="AS11" s="281">
        <f t="shared" si="6"/>
        <v>0</v>
      </c>
    </row>
    <row r="12" spans="1:45" ht="18" customHeight="1" x14ac:dyDescent="0.25">
      <c r="A12" s="261">
        <v>9</v>
      </c>
      <c r="B12" s="5">
        <v>390130</v>
      </c>
      <c r="C12" s="6" t="s">
        <v>113</v>
      </c>
      <c r="D12" s="262"/>
      <c r="E12" s="263"/>
      <c r="F12" s="262"/>
      <c r="G12" s="262"/>
      <c r="H12" s="262"/>
      <c r="I12" s="262"/>
      <c r="J12" s="264"/>
      <c r="K12" s="262"/>
      <c r="L12" s="494">
        <v>1257</v>
      </c>
      <c r="M12" s="495">
        <v>2512918.98</v>
      </c>
      <c r="N12" s="264"/>
      <c r="O12" s="262"/>
      <c r="P12" s="267">
        <v>0</v>
      </c>
      <c r="Q12" s="494">
        <v>63254</v>
      </c>
      <c r="R12" s="495">
        <v>29523771.239999991</v>
      </c>
      <c r="S12" s="264"/>
      <c r="T12" s="262"/>
      <c r="U12" s="268"/>
      <c r="V12" s="269"/>
      <c r="W12" s="268"/>
      <c r="X12" s="269"/>
      <c r="Y12" s="268"/>
      <c r="Z12" s="269"/>
      <c r="AA12" s="268"/>
      <c r="AB12" s="523"/>
      <c r="AC12" s="524">
        <v>0</v>
      </c>
      <c r="AD12" s="271">
        <v>0</v>
      </c>
      <c r="AE12" s="270">
        <v>0</v>
      </c>
      <c r="AF12" s="271">
        <v>0</v>
      </c>
      <c r="AG12" s="270">
        <v>0</v>
      </c>
      <c r="AH12" s="525">
        <v>0</v>
      </c>
      <c r="AI12" s="526">
        <f t="shared" si="1"/>
        <v>1257</v>
      </c>
      <c r="AJ12" s="272">
        <f t="shared" si="2"/>
        <v>63254</v>
      </c>
      <c r="AK12" s="273">
        <f t="shared" si="3"/>
        <v>0</v>
      </c>
      <c r="AL12" s="274">
        <f t="shared" si="3"/>
        <v>0</v>
      </c>
      <c r="AM12" s="275">
        <f t="shared" si="7"/>
        <v>32036690.219999991</v>
      </c>
      <c r="AN12" s="276">
        <f t="shared" si="8"/>
        <v>32036690.219999991</v>
      </c>
      <c r="AO12" s="277">
        <f t="shared" si="0"/>
        <v>32036690.219999991</v>
      </c>
      <c r="AP12" s="331"/>
      <c r="AQ12" s="278">
        <f t="shared" si="5"/>
        <v>32036690.219999991</v>
      </c>
      <c r="AR12" s="331">
        <v>32036690.219999991</v>
      </c>
      <c r="AS12" s="281">
        <f t="shared" si="6"/>
        <v>0</v>
      </c>
    </row>
    <row r="13" spans="1:45" ht="18" customHeight="1" x14ac:dyDescent="0.25">
      <c r="A13" s="261">
        <v>10</v>
      </c>
      <c r="B13" s="5">
        <v>390680</v>
      </c>
      <c r="C13" s="6" t="s">
        <v>114</v>
      </c>
      <c r="D13" s="262"/>
      <c r="E13" s="263"/>
      <c r="F13" s="262"/>
      <c r="G13" s="262"/>
      <c r="H13" s="262"/>
      <c r="I13" s="262"/>
      <c r="J13" s="264"/>
      <c r="K13" s="262"/>
      <c r="L13" s="494">
        <v>6680</v>
      </c>
      <c r="M13" s="495">
        <v>13354255.199999999</v>
      </c>
      <c r="N13" s="264"/>
      <c r="O13" s="262"/>
      <c r="P13" s="267">
        <v>0</v>
      </c>
      <c r="Q13" s="494">
        <v>66907</v>
      </c>
      <c r="R13" s="495">
        <v>32634512.640000034</v>
      </c>
      <c r="S13" s="264"/>
      <c r="T13" s="262"/>
      <c r="U13" s="268"/>
      <c r="V13" s="269"/>
      <c r="W13" s="268"/>
      <c r="X13" s="269"/>
      <c r="Y13" s="268"/>
      <c r="Z13" s="269"/>
      <c r="AA13" s="268"/>
      <c r="AB13" s="523"/>
      <c r="AC13" s="524">
        <v>0</v>
      </c>
      <c r="AD13" s="271">
        <v>0</v>
      </c>
      <c r="AE13" s="270">
        <v>1302</v>
      </c>
      <c r="AF13" s="271">
        <v>1058204.27</v>
      </c>
      <c r="AG13" s="270">
        <v>0</v>
      </c>
      <c r="AH13" s="525">
        <v>0</v>
      </c>
      <c r="AI13" s="526">
        <f t="shared" si="1"/>
        <v>6680</v>
      </c>
      <c r="AJ13" s="272">
        <f t="shared" si="2"/>
        <v>68209</v>
      </c>
      <c r="AK13" s="273">
        <f t="shared" si="3"/>
        <v>0</v>
      </c>
      <c r="AL13" s="274">
        <f t="shared" si="3"/>
        <v>0</v>
      </c>
      <c r="AM13" s="275">
        <f t="shared" si="7"/>
        <v>47046972.110000037</v>
      </c>
      <c r="AN13" s="276">
        <f t="shared" si="8"/>
        <v>47046972.110000037</v>
      </c>
      <c r="AO13" s="277">
        <f t="shared" si="0"/>
        <v>47046972.110000037</v>
      </c>
      <c r="AP13" s="331"/>
      <c r="AQ13" s="278">
        <f t="shared" si="5"/>
        <v>45988767.840000033</v>
      </c>
      <c r="AR13" s="331">
        <v>47046972.110000037</v>
      </c>
      <c r="AS13" s="281">
        <f t="shared" si="6"/>
        <v>0</v>
      </c>
    </row>
    <row r="14" spans="1:45" ht="18" customHeight="1" x14ac:dyDescent="0.25">
      <c r="A14" s="261">
        <v>11</v>
      </c>
      <c r="B14" s="5">
        <v>390700</v>
      </c>
      <c r="C14" s="6" t="s">
        <v>115</v>
      </c>
      <c r="D14" s="262"/>
      <c r="E14" s="263"/>
      <c r="F14" s="262"/>
      <c r="G14" s="262"/>
      <c r="H14" s="262"/>
      <c r="I14" s="262"/>
      <c r="J14" s="264"/>
      <c r="K14" s="262"/>
      <c r="L14" s="494">
        <v>322</v>
      </c>
      <c r="M14" s="495">
        <v>373981.49</v>
      </c>
      <c r="N14" s="264"/>
      <c r="O14" s="262"/>
      <c r="P14" s="267">
        <v>0</v>
      </c>
      <c r="Q14" s="494">
        <v>1678</v>
      </c>
      <c r="R14" s="495">
        <v>783831.25999999908</v>
      </c>
      <c r="S14" s="264"/>
      <c r="T14" s="262"/>
      <c r="U14" s="268"/>
      <c r="V14" s="269"/>
      <c r="W14" s="268"/>
      <c r="X14" s="269"/>
      <c r="Y14" s="268"/>
      <c r="Z14" s="269"/>
      <c r="AA14" s="268"/>
      <c r="AB14" s="523"/>
      <c r="AC14" s="524">
        <v>7</v>
      </c>
      <c r="AD14" s="271">
        <v>14044.75</v>
      </c>
      <c r="AE14" s="270">
        <v>171</v>
      </c>
      <c r="AF14" s="271">
        <v>154847.85999999999</v>
      </c>
      <c r="AG14" s="270">
        <v>0</v>
      </c>
      <c r="AH14" s="525">
        <v>0</v>
      </c>
      <c r="AI14" s="526">
        <f t="shared" si="1"/>
        <v>322</v>
      </c>
      <c r="AJ14" s="272">
        <f t="shared" si="2"/>
        <v>1849</v>
      </c>
      <c r="AK14" s="273">
        <f t="shared" si="3"/>
        <v>0</v>
      </c>
      <c r="AL14" s="274">
        <f t="shared" si="3"/>
        <v>0</v>
      </c>
      <c r="AM14" s="275">
        <f t="shared" si="7"/>
        <v>1326705.3599999989</v>
      </c>
      <c r="AN14" s="276">
        <f t="shared" si="8"/>
        <v>1326705.3599999989</v>
      </c>
      <c r="AO14" s="277">
        <f t="shared" si="0"/>
        <v>1326705.3599999989</v>
      </c>
      <c r="AP14" s="331"/>
      <c r="AQ14" s="278">
        <f t="shared" si="5"/>
        <v>1157812.7499999991</v>
      </c>
      <c r="AR14" s="331">
        <v>1326705.3599999989</v>
      </c>
      <c r="AS14" s="281">
        <f t="shared" si="6"/>
        <v>0</v>
      </c>
    </row>
    <row r="15" spans="1:45" ht="18" customHeight="1" x14ac:dyDescent="0.25">
      <c r="A15" s="261">
        <v>12</v>
      </c>
      <c r="B15" s="5">
        <v>391610</v>
      </c>
      <c r="C15" s="6" t="s">
        <v>104</v>
      </c>
      <c r="D15" s="262"/>
      <c r="E15" s="263"/>
      <c r="F15" s="262"/>
      <c r="G15" s="262"/>
      <c r="H15" s="262"/>
      <c r="I15" s="262"/>
      <c r="J15" s="264"/>
      <c r="K15" s="262"/>
      <c r="L15" s="494">
        <v>0</v>
      </c>
      <c r="M15" s="495">
        <v>0</v>
      </c>
      <c r="N15" s="264"/>
      <c r="O15" s="262"/>
      <c r="P15" s="267">
        <v>32887846.900000002</v>
      </c>
      <c r="Q15" s="494">
        <v>20747</v>
      </c>
      <c r="R15" s="495">
        <v>13647434.410000017</v>
      </c>
      <c r="S15" s="264"/>
      <c r="T15" s="262"/>
      <c r="U15" s="268"/>
      <c r="V15" s="269"/>
      <c r="W15" s="268"/>
      <c r="X15" s="269"/>
      <c r="Y15" s="268"/>
      <c r="Z15" s="269"/>
      <c r="AA15" s="268"/>
      <c r="AB15" s="523"/>
      <c r="AC15" s="524">
        <v>0</v>
      </c>
      <c r="AD15" s="271">
        <v>0</v>
      </c>
      <c r="AE15" s="270">
        <v>0</v>
      </c>
      <c r="AF15" s="271">
        <v>0</v>
      </c>
      <c r="AG15" s="270">
        <v>0</v>
      </c>
      <c r="AH15" s="525">
        <v>0</v>
      </c>
      <c r="AI15" s="526">
        <f t="shared" si="1"/>
        <v>0</v>
      </c>
      <c r="AJ15" s="272">
        <f t="shared" si="2"/>
        <v>20747</v>
      </c>
      <c r="AK15" s="273">
        <f t="shared" si="3"/>
        <v>0</v>
      </c>
      <c r="AL15" s="274">
        <f t="shared" si="3"/>
        <v>0</v>
      </c>
      <c r="AM15" s="275">
        <f t="shared" si="7"/>
        <v>46535281.310000017</v>
      </c>
      <c r="AN15" s="276">
        <f t="shared" si="8"/>
        <v>46535281.310000017</v>
      </c>
      <c r="AO15" s="277">
        <f t="shared" si="0"/>
        <v>13647434.410000015</v>
      </c>
      <c r="AP15" s="331"/>
      <c r="AQ15" s="278">
        <f t="shared" si="5"/>
        <v>46535281.310000017</v>
      </c>
      <c r="AR15" s="331">
        <v>46535281.310000017</v>
      </c>
      <c r="AS15" s="281">
        <f t="shared" si="6"/>
        <v>0</v>
      </c>
    </row>
    <row r="16" spans="1:45" ht="16.5" customHeight="1" x14ac:dyDescent="0.25">
      <c r="A16" s="261">
        <v>13</v>
      </c>
      <c r="B16" s="5">
        <v>390440</v>
      </c>
      <c r="C16" s="238" t="s">
        <v>95</v>
      </c>
      <c r="D16" s="507">
        <v>221280634.19999999</v>
      </c>
      <c r="E16" s="495">
        <v>-41290853.949999727</v>
      </c>
      <c r="F16" s="527">
        <v>34964</v>
      </c>
      <c r="G16" s="267">
        <f>D16+E16-I16-K16</f>
        <v>127718190.98134349</v>
      </c>
      <c r="H16" s="527">
        <v>89959</v>
      </c>
      <c r="I16" s="267">
        <f>'АПП+Стомат._план'!I16</f>
        <v>26241878.754859671</v>
      </c>
      <c r="J16" s="527">
        <v>27816</v>
      </c>
      <c r="K16" s="267">
        <f>'АПП+Стомат._план'!K16</f>
        <v>26029710.513797119</v>
      </c>
      <c r="L16" s="528"/>
      <c r="M16" s="495"/>
      <c r="N16" s="264"/>
      <c r="O16" s="262"/>
      <c r="P16" s="267">
        <v>13969726.363083903</v>
      </c>
      <c r="Q16" s="528"/>
      <c r="R16" s="495"/>
      <c r="S16" s="527">
        <v>159</v>
      </c>
      <c r="T16" s="267">
        <v>1991143.6399999976</v>
      </c>
      <c r="U16" s="508">
        <v>30308</v>
      </c>
      <c r="V16" s="509">
        <v>90629645.719999999</v>
      </c>
      <c r="W16" s="508">
        <v>33870</v>
      </c>
      <c r="X16" s="509">
        <v>44179424.759981267</v>
      </c>
      <c r="Y16" s="508">
        <v>9158</v>
      </c>
      <c r="Z16" s="509">
        <v>11704810.93000029</v>
      </c>
      <c r="AA16" s="508">
        <v>8377</v>
      </c>
      <c r="AB16" s="509">
        <v>12379698.07</v>
      </c>
      <c r="AC16" s="524">
        <v>0</v>
      </c>
      <c r="AD16" s="271">
        <v>0</v>
      </c>
      <c r="AE16" s="270">
        <v>0</v>
      </c>
      <c r="AF16" s="271">
        <v>0</v>
      </c>
      <c r="AG16" s="270">
        <v>0</v>
      </c>
      <c r="AH16" s="525">
        <v>0</v>
      </c>
      <c r="AI16" s="529">
        <f>L16+N16+S16</f>
        <v>159</v>
      </c>
      <c r="AJ16" s="530">
        <f>Q16+U16+W16+Y16+AA16+AE16+AG16</f>
        <v>81713</v>
      </c>
      <c r="AK16" s="531">
        <f>U16+Y16+AA16</f>
        <v>47843</v>
      </c>
      <c r="AL16" s="532">
        <f>V16+Z16+AB16</f>
        <v>114714154.7200003</v>
      </c>
      <c r="AM16" s="533">
        <f>O16+P16+T16+V16+X16+Z16+AB16+AD16+AF16+AH16</f>
        <v>174854449.48306543</v>
      </c>
      <c r="AN16" s="276">
        <f>D16+AM16+E16</f>
        <v>354844229.73306566</v>
      </c>
      <c r="AO16" s="277">
        <f>AM16-P16</f>
        <v>160884723.11998153</v>
      </c>
      <c r="AP16" s="331"/>
      <c r="AQ16" s="278">
        <f>AN16-AH16-AF16-AD16</f>
        <v>354844229.73306566</v>
      </c>
      <c r="AR16" s="331">
        <v>354844229.73306566</v>
      </c>
      <c r="AS16" s="281">
        <f t="shared" si="6"/>
        <v>0</v>
      </c>
    </row>
    <row r="17" spans="1:45" x14ac:dyDescent="0.25">
      <c r="A17" s="261">
        <v>14</v>
      </c>
      <c r="B17" s="5">
        <v>390100</v>
      </c>
      <c r="C17" s="238" t="s">
        <v>93</v>
      </c>
      <c r="D17" s="507">
        <v>173916139.57000002</v>
      </c>
      <c r="E17" s="495">
        <v>-51637870.870002188</v>
      </c>
      <c r="F17" s="527">
        <v>16807</v>
      </c>
      <c r="G17" s="548">
        <f>D17+E17+P17-I17-K17</f>
        <v>86649699.627756953</v>
      </c>
      <c r="H17" s="527">
        <v>106257</v>
      </c>
      <c r="I17" s="267">
        <f>'АПП+Стомат._план'!I17</f>
        <v>6429485.1333825588</v>
      </c>
      <c r="J17" s="527">
        <v>27222</v>
      </c>
      <c r="K17" s="267">
        <f>'АПП+Стомат._план'!K17</f>
        <v>21198629</v>
      </c>
      <c r="L17" s="528"/>
      <c r="M17" s="495"/>
      <c r="N17" s="264"/>
      <c r="O17" s="262"/>
      <c r="P17" s="267">
        <v>-8000454.9388583228</v>
      </c>
      <c r="Q17" s="528"/>
      <c r="R17" s="495"/>
      <c r="S17" s="264"/>
      <c r="T17" s="262"/>
      <c r="U17" s="508">
        <v>22442</v>
      </c>
      <c r="V17" s="509">
        <v>67369767.620000005</v>
      </c>
      <c r="W17" s="508">
        <v>27576</v>
      </c>
      <c r="X17" s="509">
        <v>36557976.339999348</v>
      </c>
      <c r="Y17" s="508">
        <v>7055</v>
      </c>
      <c r="Z17" s="509">
        <v>8735875.8899996746</v>
      </c>
      <c r="AA17" s="508">
        <v>6241</v>
      </c>
      <c r="AB17" s="509">
        <v>8687337.5899999999</v>
      </c>
      <c r="AC17" s="524">
        <v>275</v>
      </c>
      <c r="AD17" s="271">
        <v>1051519.32</v>
      </c>
      <c r="AE17" s="270">
        <v>6628</v>
      </c>
      <c r="AF17" s="271">
        <v>5822467.7199999997</v>
      </c>
      <c r="AG17" s="270">
        <v>0</v>
      </c>
      <c r="AH17" s="525">
        <v>0</v>
      </c>
      <c r="AI17" s="529">
        <f t="shared" ref="AI17:AI43" si="9">L17+N17+S17</f>
        <v>0</v>
      </c>
      <c r="AJ17" s="530">
        <f t="shared" ref="AJ17:AJ43" si="10">Q17+U17+W17+Y17+AA17+AE17+AG17</f>
        <v>69942</v>
      </c>
      <c r="AK17" s="531">
        <f t="shared" si="3"/>
        <v>35738</v>
      </c>
      <c r="AL17" s="532">
        <f t="shared" ref="AL17:AL42" si="11">V17+Z17+AB17</f>
        <v>84792981.099999681</v>
      </c>
      <c r="AM17" s="533">
        <f t="shared" ref="AM17:AM42" si="12">O17+P17+T17+V17+X17+Z17+AB17+AD17+AF17+AH17</f>
        <v>120224489.54114069</v>
      </c>
      <c r="AN17" s="276">
        <f t="shared" ref="AN17:AN42" si="13">D17+AM17+E17</f>
        <v>242502758.24113855</v>
      </c>
      <c r="AO17" s="277">
        <f t="shared" si="0"/>
        <v>128224944.47999901</v>
      </c>
      <c r="AP17" s="331"/>
      <c r="AQ17" s="278">
        <f t="shared" ref="AQ17:AQ42" si="14">AN17-AH17-AF17-AD17</f>
        <v>235628771.20113856</v>
      </c>
      <c r="AR17" s="331">
        <v>242502758.24113855</v>
      </c>
      <c r="AS17" s="281">
        <f t="shared" si="6"/>
        <v>0</v>
      </c>
    </row>
    <row r="18" spans="1:45" x14ac:dyDescent="0.25">
      <c r="A18" s="261">
        <v>15</v>
      </c>
      <c r="B18" s="5">
        <v>390090</v>
      </c>
      <c r="C18" s="238" t="s">
        <v>92</v>
      </c>
      <c r="D18" s="507">
        <v>189566415.69</v>
      </c>
      <c r="E18" s="495">
        <v>-52017664.800002038</v>
      </c>
      <c r="F18" s="527">
        <v>31136</v>
      </c>
      <c r="G18" s="548">
        <f>D18+E18+P18-I18-K18</f>
        <v>95617100.909640655</v>
      </c>
      <c r="H18" s="527">
        <v>25929</v>
      </c>
      <c r="I18" s="267">
        <f>'АПП+Стомат._план'!I18</f>
        <v>7020726.3294352442</v>
      </c>
      <c r="J18" s="527">
        <v>24511</v>
      </c>
      <c r="K18" s="267">
        <f>'АПП+Стомат._план'!K18</f>
        <v>20657295.437460914</v>
      </c>
      <c r="L18" s="528"/>
      <c r="M18" s="495"/>
      <c r="N18" s="264"/>
      <c r="O18" s="262"/>
      <c r="P18" s="267">
        <v>-14253628.213461151</v>
      </c>
      <c r="Q18" s="528"/>
      <c r="R18" s="495"/>
      <c r="S18" s="264"/>
      <c r="T18" s="262"/>
      <c r="U18" s="508">
        <v>21983</v>
      </c>
      <c r="V18" s="509">
        <v>65069122.729999997</v>
      </c>
      <c r="W18" s="508">
        <v>23405</v>
      </c>
      <c r="X18" s="509">
        <v>31467256.36999888</v>
      </c>
      <c r="Y18" s="508">
        <v>7484</v>
      </c>
      <c r="Z18" s="509">
        <v>10463750.669999694</v>
      </c>
      <c r="AA18" s="508">
        <v>5582</v>
      </c>
      <c r="AB18" s="509">
        <v>7865594.46</v>
      </c>
      <c r="AC18" s="524">
        <v>202</v>
      </c>
      <c r="AD18" s="271">
        <v>869310.76</v>
      </c>
      <c r="AE18" s="270">
        <v>3044</v>
      </c>
      <c r="AF18" s="271">
        <v>4179337.38</v>
      </c>
      <c r="AG18" s="270">
        <v>67</v>
      </c>
      <c r="AH18" s="525">
        <v>39219.120000000003</v>
      </c>
      <c r="AI18" s="529">
        <f t="shared" si="9"/>
        <v>0</v>
      </c>
      <c r="AJ18" s="530">
        <f t="shared" si="10"/>
        <v>61565</v>
      </c>
      <c r="AK18" s="531">
        <f t="shared" si="3"/>
        <v>35049</v>
      </c>
      <c r="AL18" s="532">
        <f t="shared" si="11"/>
        <v>83398467.859999686</v>
      </c>
      <c r="AM18" s="533">
        <f t="shared" si="12"/>
        <v>105699963.27653742</v>
      </c>
      <c r="AN18" s="276">
        <f t="shared" si="13"/>
        <v>243248714.16653538</v>
      </c>
      <c r="AO18" s="277">
        <f t="shared" si="0"/>
        <v>119953591.48999856</v>
      </c>
      <c r="AP18" s="331"/>
      <c r="AQ18" s="278">
        <f t="shared" si="14"/>
        <v>238160846.90653539</v>
      </c>
      <c r="AR18" s="331">
        <v>243248714.16653538</v>
      </c>
      <c r="AS18" s="281">
        <f t="shared" si="6"/>
        <v>0</v>
      </c>
    </row>
    <row r="19" spans="1:45" x14ac:dyDescent="0.25">
      <c r="A19" s="261">
        <v>16</v>
      </c>
      <c r="B19" s="5">
        <v>390400</v>
      </c>
      <c r="C19" s="238" t="s">
        <v>94</v>
      </c>
      <c r="D19" s="507">
        <v>401859411.43000007</v>
      </c>
      <c r="E19" s="495">
        <v>-101663882.84999821</v>
      </c>
      <c r="F19" s="527">
        <v>67129</v>
      </c>
      <c r="G19" s="548">
        <f t="shared" ref="G19:G25" si="15">D19+E19+P19-I19-K19</f>
        <v>223814338.07407969</v>
      </c>
      <c r="H19" s="527">
        <v>111290</v>
      </c>
      <c r="I19" s="267">
        <f>'АПП+Стомат._план'!I19</f>
        <v>18634888.634536482</v>
      </c>
      <c r="J19" s="527">
        <v>40749</v>
      </c>
      <c r="K19" s="267">
        <f>'АПП+Стомат._план'!K19</f>
        <v>44036831.721246921</v>
      </c>
      <c r="L19" s="528"/>
      <c r="M19" s="495"/>
      <c r="N19" s="264"/>
      <c r="O19" s="262"/>
      <c r="P19" s="267">
        <v>-13709470.15013873</v>
      </c>
      <c r="Q19" s="528"/>
      <c r="R19" s="495"/>
      <c r="S19" s="264"/>
      <c r="T19" s="262"/>
      <c r="U19" s="508">
        <v>48577</v>
      </c>
      <c r="V19" s="509">
        <v>141459638.5</v>
      </c>
      <c r="W19" s="508">
        <v>55153</v>
      </c>
      <c r="X19" s="509">
        <v>75514571.759954482</v>
      </c>
      <c r="Y19" s="508">
        <v>15629</v>
      </c>
      <c r="Z19" s="509">
        <v>21243887.650004108</v>
      </c>
      <c r="AA19" s="508">
        <v>13412</v>
      </c>
      <c r="AB19" s="509">
        <v>18563769.469999999</v>
      </c>
      <c r="AC19" s="524">
        <v>0</v>
      </c>
      <c r="AD19" s="271">
        <v>0</v>
      </c>
      <c r="AE19" s="270">
        <v>1374</v>
      </c>
      <c r="AF19" s="271">
        <v>1407219.04</v>
      </c>
      <c r="AG19" s="270">
        <v>0</v>
      </c>
      <c r="AH19" s="525">
        <v>0</v>
      </c>
      <c r="AI19" s="529">
        <f t="shared" si="9"/>
        <v>0</v>
      </c>
      <c r="AJ19" s="530">
        <f t="shared" si="10"/>
        <v>134145</v>
      </c>
      <c r="AK19" s="531">
        <f t="shared" si="3"/>
        <v>77618</v>
      </c>
      <c r="AL19" s="532">
        <f t="shared" si="11"/>
        <v>181267295.62000412</v>
      </c>
      <c r="AM19" s="533">
        <f t="shared" si="12"/>
        <v>244479616.26981986</v>
      </c>
      <c r="AN19" s="276">
        <f t="shared" si="13"/>
        <v>544675144.84982169</v>
      </c>
      <c r="AO19" s="277">
        <f t="shared" si="0"/>
        <v>258189086.41995859</v>
      </c>
      <c r="AP19" s="331"/>
      <c r="AQ19" s="278">
        <f t="shared" si="14"/>
        <v>543267925.80982172</v>
      </c>
      <c r="AR19" s="331">
        <v>544675144.84982169</v>
      </c>
      <c r="AS19" s="281">
        <f t="shared" si="6"/>
        <v>0</v>
      </c>
    </row>
    <row r="20" spans="1:45" x14ac:dyDescent="0.25">
      <c r="A20" s="261">
        <v>17</v>
      </c>
      <c r="B20" s="5">
        <v>390110</v>
      </c>
      <c r="C20" s="238" t="s">
        <v>99</v>
      </c>
      <c r="D20" s="507">
        <v>30728690.140000001</v>
      </c>
      <c r="E20" s="495">
        <v>-7738385.3399997838</v>
      </c>
      <c r="F20" s="527">
        <v>5840</v>
      </c>
      <c r="G20" s="548">
        <f t="shared" si="15"/>
        <v>15114007.293593541</v>
      </c>
      <c r="H20" s="527">
        <v>5245</v>
      </c>
      <c r="I20" s="267">
        <f>'АПП+Стомат._план'!I20</f>
        <v>374512.18588666059</v>
      </c>
      <c r="J20" s="527">
        <v>4717</v>
      </c>
      <c r="K20" s="267">
        <f>'АПП+Стомат._план'!K20</f>
        <v>3398848</v>
      </c>
      <c r="L20" s="528"/>
      <c r="M20" s="495"/>
      <c r="N20" s="264"/>
      <c r="O20" s="262"/>
      <c r="P20" s="267">
        <v>-4102937.3205200164</v>
      </c>
      <c r="Q20" s="528"/>
      <c r="R20" s="495"/>
      <c r="S20" s="264"/>
      <c r="T20" s="262"/>
      <c r="U20" s="508">
        <v>4010</v>
      </c>
      <c r="V20" s="509">
        <v>11410995.689999999</v>
      </c>
      <c r="W20" s="508">
        <v>3726</v>
      </c>
      <c r="X20" s="509">
        <v>5062045.5300001465</v>
      </c>
      <c r="Y20" s="508">
        <v>1288</v>
      </c>
      <c r="Z20" s="509">
        <v>1815255.3999999547</v>
      </c>
      <c r="AA20" s="508">
        <v>1212</v>
      </c>
      <c r="AB20" s="509">
        <v>1650205.86</v>
      </c>
      <c r="AC20" s="524">
        <v>22</v>
      </c>
      <c r="AD20" s="271">
        <v>46455.64</v>
      </c>
      <c r="AE20" s="270">
        <v>2894</v>
      </c>
      <c r="AF20" s="271">
        <v>3721548.94</v>
      </c>
      <c r="AG20" s="270">
        <v>0</v>
      </c>
      <c r="AH20" s="525">
        <v>0</v>
      </c>
      <c r="AI20" s="529">
        <f t="shared" si="9"/>
        <v>0</v>
      </c>
      <c r="AJ20" s="530">
        <f t="shared" si="10"/>
        <v>13130</v>
      </c>
      <c r="AK20" s="531">
        <f t="shared" si="3"/>
        <v>6510</v>
      </c>
      <c r="AL20" s="532">
        <f t="shared" si="11"/>
        <v>14876456.949999955</v>
      </c>
      <c r="AM20" s="533">
        <f t="shared" si="12"/>
        <v>19603569.739480086</v>
      </c>
      <c r="AN20" s="276">
        <f t="shared" si="13"/>
        <v>42593874.539480299</v>
      </c>
      <c r="AO20" s="277">
        <f t="shared" si="0"/>
        <v>23706507.060000103</v>
      </c>
      <c r="AP20" s="331"/>
      <c r="AQ20" s="278">
        <f t="shared" si="14"/>
        <v>38825869.959480301</v>
      </c>
      <c r="AR20" s="331">
        <v>42593874.539480314</v>
      </c>
      <c r="AS20" s="281">
        <f t="shared" si="6"/>
        <v>0</v>
      </c>
    </row>
    <row r="21" spans="1:45" x14ac:dyDescent="0.25">
      <c r="A21" s="261">
        <v>18</v>
      </c>
      <c r="B21" s="5">
        <v>390890</v>
      </c>
      <c r="C21" s="238" t="s">
        <v>116</v>
      </c>
      <c r="D21" s="507">
        <v>471761594.44</v>
      </c>
      <c r="E21" s="495">
        <v>-56480250.229999632</v>
      </c>
      <c r="F21" s="527">
        <v>76926</v>
      </c>
      <c r="G21" s="548">
        <f t="shared" si="15"/>
        <v>317071447.7561214</v>
      </c>
      <c r="H21" s="527">
        <v>339316</v>
      </c>
      <c r="I21" s="267">
        <f>'АПП+Стомат._план'!I21</f>
        <v>63273806.945522308</v>
      </c>
      <c r="J21" s="527">
        <v>55481</v>
      </c>
      <c r="K21" s="267">
        <f>'АПП+Стомат._план'!K21</f>
        <v>32254972</v>
      </c>
      <c r="L21" s="528"/>
      <c r="M21" s="495"/>
      <c r="N21" s="264"/>
      <c r="O21" s="262"/>
      <c r="P21" s="267">
        <v>-2681117.5083566708</v>
      </c>
      <c r="Q21" s="528"/>
      <c r="R21" s="495"/>
      <c r="S21" s="527">
        <v>1298</v>
      </c>
      <c r="T21" s="267">
        <v>18546219.220000017</v>
      </c>
      <c r="U21" s="508">
        <v>619</v>
      </c>
      <c r="V21" s="509">
        <v>4337533.91</v>
      </c>
      <c r="W21" s="508">
        <v>0</v>
      </c>
      <c r="X21" s="509">
        <v>0</v>
      </c>
      <c r="Y21" s="508"/>
      <c r="Z21" s="509"/>
      <c r="AA21" s="508">
        <v>95608</v>
      </c>
      <c r="AB21" s="509">
        <v>254592781.59999999</v>
      </c>
      <c r="AC21" s="524">
        <v>91</v>
      </c>
      <c r="AD21" s="271">
        <v>280990.68</v>
      </c>
      <c r="AE21" s="270">
        <v>1863</v>
      </c>
      <c r="AF21" s="271">
        <v>3298530.3</v>
      </c>
      <c r="AG21" s="270">
        <v>3</v>
      </c>
      <c r="AH21" s="525">
        <v>4021.91</v>
      </c>
      <c r="AI21" s="529">
        <f t="shared" si="9"/>
        <v>1298</v>
      </c>
      <c r="AJ21" s="530">
        <f t="shared" si="10"/>
        <v>98093</v>
      </c>
      <c r="AK21" s="531">
        <f t="shared" si="3"/>
        <v>96227</v>
      </c>
      <c r="AL21" s="532">
        <f t="shared" si="11"/>
        <v>258930315.50999999</v>
      </c>
      <c r="AM21" s="533">
        <f t="shared" si="12"/>
        <v>278378960.11164337</v>
      </c>
      <c r="AN21" s="276">
        <f t="shared" si="13"/>
        <v>693660304.32164371</v>
      </c>
      <c r="AO21" s="277">
        <f t="shared" si="0"/>
        <v>281060077.62000006</v>
      </c>
      <c r="AP21" s="331"/>
      <c r="AQ21" s="278">
        <f t="shared" si="14"/>
        <v>690076761.43164384</v>
      </c>
      <c r="AR21" s="331">
        <v>693660304.32164347</v>
      </c>
      <c r="AS21" s="281">
        <f t="shared" si="6"/>
        <v>0</v>
      </c>
    </row>
    <row r="22" spans="1:45" ht="16.5" customHeight="1" x14ac:dyDescent="0.25">
      <c r="A22" s="261">
        <v>19</v>
      </c>
      <c r="B22" s="5">
        <v>390200</v>
      </c>
      <c r="C22" s="238" t="s">
        <v>29</v>
      </c>
      <c r="D22" s="507">
        <v>94709052.409999996</v>
      </c>
      <c r="E22" s="495">
        <v>-9857525.6100001037</v>
      </c>
      <c r="F22" s="527">
        <v>8980</v>
      </c>
      <c r="G22" s="548">
        <f t="shared" si="15"/>
        <v>47157448.26245515</v>
      </c>
      <c r="H22" s="527">
        <v>22216</v>
      </c>
      <c r="I22" s="267">
        <f>'АПП+Стомат._план'!I22</f>
        <v>27658792.590061367</v>
      </c>
      <c r="J22" s="527">
        <v>2325</v>
      </c>
      <c r="K22" s="267">
        <f>'АПП+Стомат._план'!K22</f>
        <v>6426562.8336586971</v>
      </c>
      <c r="L22" s="528"/>
      <c r="M22" s="495"/>
      <c r="N22" s="264"/>
      <c r="O22" s="262"/>
      <c r="P22" s="267">
        <v>-3608723.1138246804</v>
      </c>
      <c r="Q22" s="528"/>
      <c r="R22" s="495"/>
      <c r="S22" s="264"/>
      <c r="T22" s="262"/>
      <c r="U22" s="508">
        <v>5716</v>
      </c>
      <c r="V22" s="509">
        <v>16995892.5</v>
      </c>
      <c r="W22" s="508">
        <v>5209</v>
      </c>
      <c r="X22" s="509">
        <v>6489415.6900001634</v>
      </c>
      <c r="Y22" s="508">
        <v>1957</v>
      </c>
      <c r="Z22" s="509">
        <v>3331608.2299998961</v>
      </c>
      <c r="AA22" s="508">
        <v>5305</v>
      </c>
      <c r="AB22" s="509">
        <v>6754906.25</v>
      </c>
      <c r="AC22" s="524">
        <v>1325</v>
      </c>
      <c r="AD22" s="271">
        <v>3743790.06</v>
      </c>
      <c r="AE22" s="270">
        <v>4976</v>
      </c>
      <c r="AF22" s="271">
        <v>4309531.03</v>
      </c>
      <c r="AG22" s="270">
        <v>0</v>
      </c>
      <c r="AH22" s="525">
        <v>0</v>
      </c>
      <c r="AI22" s="529">
        <f t="shared" si="9"/>
        <v>0</v>
      </c>
      <c r="AJ22" s="530">
        <f t="shared" si="10"/>
        <v>23163</v>
      </c>
      <c r="AK22" s="531">
        <f t="shared" si="3"/>
        <v>12978</v>
      </c>
      <c r="AL22" s="532">
        <f t="shared" si="11"/>
        <v>27082406.979999896</v>
      </c>
      <c r="AM22" s="533">
        <f t="shared" si="12"/>
        <v>38016420.646175377</v>
      </c>
      <c r="AN22" s="276">
        <f t="shared" si="13"/>
        <v>122867947.44617528</v>
      </c>
      <c r="AO22" s="277">
        <f t="shared" si="0"/>
        <v>41625143.760000058</v>
      </c>
      <c r="AP22" s="331"/>
      <c r="AQ22" s="278">
        <f t="shared" si="14"/>
        <v>114814626.35617527</v>
      </c>
      <c r="AR22" s="331">
        <v>122867947.44617526</v>
      </c>
      <c r="AS22" s="281">
        <f t="shared" si="6"/>
        <v>0</v>
      </c>
    </row>
    <row r="23" spans="1:45" x14ac:dyDescent="0.25">
      <c r="A23" s="261">
        <v>20</v>
      </c>
      <c r="B23" s="5">
        <v>390160</v>
      </c>
      <c r="C23" s="238" t="s">
        <v>30</v>
      </c>
      <c r="D23" s="507">
        <v>77747208.959999993</v>
      </c>
      <c r="E23" s="495">
        <v>-10271930.370000076</v>
      </c>
      <c r="F23" s="527">
        <v>10620</v>
      </c>
      <c r="G23" s="548">
        <f t="shared" si="15"/>
        <v>56454169.986644238</v>
      </c>
      <c r="H23" s="527">
        <v>8933</v>
      </c>
      <c r="I23" s="267">
        <f>'АПП+Стомат._план'!I23</f>
        <v>379592.55897957832</v>
      </c>
      <c r="J23" s="527">
        <v>8629</v>
      </c>
      <c r="K23" s="267">
        <f>'АПП+Стомат._план'!K23</f>
        <v>7113512</v>
      </c>
      <c r="L23" s="528"/>
      <c r="M23" s="495"/>
      <c r="N23" s="264"/>
      <c r="O23" s="262"/>
      <c r="P23" s="267">
        <v>-3528004.044376099</v>
      </c>
      <c r="Q23" s="528"/>
      <c r="R23" s="495"/>
      <c r="S23" s="264"/>
      <c r="T23" s="262"/>
      <c r="U23" s="508">
        <v>6349</v>
      </c>
      <c r="V23" s="509">
        <v>18280223.520000003</v>
      </c>
      <c r="W23" s="508">
        <v>5487</v>
      </c>
      <c r="X23" s="509">
        <v>6999913.7300000582</v>
      </c>
      <c r="Y23" s="508">
        <v>1943</v>
      </c>
      <c r="Z23" s="509">
        <v>2295966.9299999722</v>
      </c>
      <c r="AA23" s="508">
        <v>6326</v>
      </c>
      <c r="AB23" s="509">
        <v>12957287.16</v>
      </c>
      <c r="AC23" s="524">
        <v>276</v>
      </c>
      <c r="AD23" s="271">
        <v>934234.02</v>
      </c>
      <c r="AE23" s="270">
        <v>1092</v>
      </c>
      <c r="AF23" s="271">
        <v>1593422.9</v>
      </c>
      <c r="AG23" s="270">
        <v>0</v>
      </c>
      <c r="AH23" s="525">
        <v>0</v>
      </c>
      <c r="AI23" s="529">
        <f t="shared" si="9"/>
        <v>0</v>
      </c>
      <c r="AJ23" s="530">
        <f t="shared" si="10"/>
        <v>21197</v>
      </c>
      <c r="AK23" s="531">
        <f t="shared" si="3"/>
        <v>14618</v>
      </c>
      <c r="AL23" s="532">
        <f t="shared" si="11"/>
        <v>33533477.609999977</v>
      </c>
      <c r="AM23" s="533">
        <f t="shared" si="12"/>
        <v>39533044.215623938</v>
      </c>
      <c r="AN23" s="276">
        <f t="shared" si="13"/>
        <v>107008322.80562384</v>
      </c>
      <c r="AO23" s="277">
        <f t="shared" si="0"/>
        <v>43061048.260000035</v>
      </c>
      <c r="AP23" s="331"/>
      <c r="AQ23" s="278">
        <f t="shared" si="14"/>
        <v>104480665.88562384</v>
      </c>
      <c r="AR23" s="331">
        <v>107008322.80562386</v>
      </c>
      <c r="AS23" s="281">
        <f t="shared" si="6"/>
        <v>0</v>
      </c>
    </row>
    <row r="24" spans="1:45" x14ac:dyDescent="0.25">
      <c r="A24" s="261">
        <v>21</v>
      </c>
      <c r="B24" s="201">
        <v>390210</v>
      </c>
      <c r="C24" s="238" t="s">
        <v>31</v>
      </c>
      <c r="D24" s="507">
        <v>89462542.110000014</v>
      </c>
      <c r="E24" s="495">
        <v>-10784389.799999945</v>
      </c>
      <c r="F24" s="527">
        <v>11203</v>
      </c>
      <c r="G24" s="548">
        <f t="shared" si="15"/>
        <v>37274090.324554428</v>
      </c>
      <c r="H24" s="527">
        <v>-53</v>
      </c>
      <c r="I24" s="267">
        <f>'АПП+Стомат._план'!I24</f>
        <v>31473953.162622273</v>
      </c>
      <c r="J24" s="527">
        <v>1014</v>
      </c>
      <c r="K24" s="267">
        <f>'АПП+Стомат._план'!K24</f>
        <v>6653950.6376945348</v>
      </c>
      <c r="L24" s="528"/>
      <c r="M24" s="495"/>
      <c r="N24" s="264"/>
      <c r="O24" s="262"/>
      <c r="P24" s="267">
        <v>-3276158.1851288211</v>
      </c>
      <c r="Q24" s="528"/>
      <c r="R24" s="495"/>
      <c r="S24" s="264"/>
      <c r="T24" s="262"/>
      <c r="U24" s="508">
        <v>6451</v>
      </c>
      <c r="V24" s="509">
        <v>19475164.719999999</v>
      </c>
      <c r="W24" s="508">
        <v>6048</v>
      </c>
      <c r="X24" s="509">
        <v>7829361.2500000186</v>
      </c>
      <c r="Y24" s="508">
        <v>1959</v>
      </c>
      <c r="Z24" s="509">
        <v>2486346.9699999476</v>
      </c>
      <c r="AA24" s="508">
        <v>5510</v>
      </c>
      <c r="AB24" s="509">
        <v>9091318.25</v>
      </c>
      <c r="AC24" s="524">
        <v>1164</v>
      </c>
      <c r="AD24" s="271">
        <v>2513923.17</v>
      </c>
      <c r="AE24" s="270">
        <v>2532</v>
      </c>
      <c r="AF24" s="271">
        <v>2316699.92</v>
      </c>
      <c r="AG24" s="270">
        <v>0</v>
      </c>
      <c r="AH24" s="525">
        <v>0</v>
      </c>
      <c r="AI24" s="529">
        <f t="shared" si="9"/>
        <v>0</v>
      </c>
      <c r="AJ24" s="530">
        <f t="shared" si="10"/>
        <v>22500</v>
      </c>
      <c r="AK24" s="531">
        <f t="shared" si="3"/>
        <v>13920</v>
      </c>
      <c r="AL24" s="532">
        <f t="shared" si="11"/>
        <v>31052829.939999945</v>
      </c>
      <c r="AM24" s="533">
        <f t="shared" si="12"/>
        <v>40436656.094871148</v>
      </c>
      <c r="AN24" s="276">
        <f t="shared" si="13"/>
        <v>119114808.40487123</v>
      </c>
      <c r="AO24" s="277">
        <f t="shared" si="0"/>
        <v>43712814.279999971</v>
      </c>
      <c r="AP24" s="331"/>
      <c r="AQ24" s="278">
        <f t="shared" si="14"/>
        <v>114284185.31487122</v>
      </c>
      <c r="AR24" s="331">
        <v>119114808.4048712</v>
      </c>
      <c r="AS24" s="281">
        <f t="shared" si="6"/>
        <v>0</v>
      </c>
    </row>
    <row r="25" spans="1:45" x14ac:dyDescent="0.25">
      <c r="A25" s="261">
        <v>22</v>
      </c>
      <c r="B25" s="5">
        <v>390220</v>
      </c>
      <c r="C25" s="238" t="s">
        <v>181</v>
      </c>
      <c r="D25" s="507">
        <v>213316257.06999996</v>
      </c>
      <c r="E25" s="495">
        <v>-33943404.440002806</v>
      </c>
      <c r="F25" s="527">
        <v>41769</v>
      </c>
      <c r="G25" s="548">
        <f t="shared" si="15"/>
        <v>102209511.38856716</v>
      </c>
      <c r="H25" s="527">
        <v>125360</v>
      </c>
      <c r="I25" s="267">
        <f>'АПП+Стомат._план'!I25</f>
        <v>48733665.129897282</v>
      </c>
      <c r="J25" s="527">
        <v>12646</v>
      </c>
      <c r="K25" s="267">
        <f>'АПП+Стомат._план'!K25</f>
        <v>18836530.250106361</v>
      </c>
      <c r="L25" s="528"/>
      <c r="M25" s="495"/>
      <c r="N25" s="264"/>
      <c r="O25" s="262"/>
      <c r="P25" s="267">
        <v>-9593145.8614263441</v>
      </c>
      <c r="Q25" s="528"/>
      <c r="R25" s="495"/>
      <c r="S25" s="264"/>
      <c r="T25" s="262"/>
      <c r="U25" s="508">
        <v>10004</v>
      </c>
      <c r="V25" s="509">
        <v>30311575.759999998</v>
      </c>
      <c r="W25" s="508">
        <v>14964</v>
      </c>
      <c r="X25" s="509">
        <v>19989642.389999997</v>
      </c>
      <c r="Y25" s="508">
        <v>3375</v>
      </c>
      <c r="Z25" s="509">
        <v>4092784.8999998877</v>
      </c>
      <c r="AA25" s="508">
        <v>14103</v>
      </c>
      <c r="AB25" s="509">
        <v>25526881.25</v>
      </c>
      <c r="AC25" s="524">
        <v>1341</v>
      </c>
      <c r="AD25" s="271">
        <v>4053292.42</v>
      </c>
      <c r="AE25" s="270">
        <v>12801</v>
      </c>
      <c r="AF25" s="271">
        <v>12757847.32</v>
      </c>
      <c r="AG25" s="270">
        <v>37</v>
      </c>
      <c r="AH25" s="525">
        <v>30650.9</v>
      </c>
      <c r="AI25" s="529">
        <f t="shared" si="9"/>
        <v>0</v>
      </c>
      <c r="AJ25" s="530">
        <f t="shared" si="10"/>
        <v>55284</v>
      </c>
      <c r="AK25" s="531">
        <f t="shared" si="3"/>
        <v>27482</v>
      </c>
      <c r="AL25" s="532">
        <f t="shared" si="11"/>
        <v>59931241.909999885</v>
      </c>
      <c r="AM25" s="533">
        <f t="shared" si="12"/>
        <v>87169529.078573555</v>
      </c>
      <c r="AN25" s="276">
        <f t="shared" si="13"/>
        <v>266542381.70857072</v>
      </c>
      <c r="AO25" s="277">
        <f t="shared" si="0"/>
        <v>96762674.939999893</v>
      </c>
      <c r="AP25" s="331"/>
      <c r="AQ25" s="278">
        <f t="shared" si="14"/>
        <v>249700591.06857073</v>
      </c>
      <c r="AR25" s="331">
        <v>266542381.70857072</v>
      </c>
      <c r="AS25" s="281">
        <f t="shared" si="6"/>
        <v>0</v>
      </c>
    </row>
    <row r="26" spans="1:45" x14ac:dyDescent="0.25">
      <c r="A26" s="261">
        <v>23</v>
      </c>
      <c r="B26" s="5">
        <v>390230</v>
      </c>
      <c r="C26" s="238" t="s">
        <v>33</v>
      </c>
      <c r="D26" s="507">
        <v>87570239.439999998</v>
      </c>
      <c r="E26" s="495">
        <v>-6083817.4399998318</v>
      </c>
      <c r="F26" s="527">
        <v>10980</v>
      </c>
      <c r="G26" s="267">
        <f t="shared" ref="G26:G42" si="16">D26+E26-I26-K26</f>
        <v>53628729.389535531</v>
      </c>
      <c r="H26" s="527">
        <v>50295</v>
      </c>
      <c r="I26" s="267">
        <f>'АПП+Стомат._план'!I26</f>
        <v>20114447.252084129</v>
      </c>
      <c r="J26" s="527">
        <v>4555</v>
      </c>
      <c r="K26" s="267">
        <f>'АПП+Стомат._план'!K26</f>
        <v>7743245.358380503</v>
      </c>
      <c r="L26" s="528"/>
      <c r="M26" s="495"/>
      <c r="N26" s="264"/>
      <c r="O26" s="262"/>
      <c r="P26" s="267">
        <v>6069012.343678724</v>
      </c>
      <c r="Q26" s="528"/>
      <c r="R26" s="495"/>
      <c r="S26" s="264"/>
      <c r="T26" s="262"/>
      <c r="U26" s="508">
        <v>4232</v>
      </c>
      <c r="V26" s="509">
        <v>13467652</v>
      </c>
      <c r="W26" s="508">
        <v>5061</v>
      </c>
      <c r="X26" s="509">
        <v>7020560.6699999031</v>
      </c>
      <c r="Y26" s="508">
        <v>3746</v>
      </c>
      <c r="Z26" s="509">
        <v>6435451.6300000818</v>
      </c>
      <c r="AA26" s="508">
        <v>6293</v>
      </c>
      <c r="AB26" s="509">
        <v>7396689.4900000002</v>
      </c>
      <c r="AC26" s="524">
        <v>833</v>
      </c>
      <c r="AD26" s="271">
        <v>2089625.28</v>
      </c>
      <c r="AE26" s="270">
        <v>5887</v>
      </c>
      <c r="AF26" s="271">
        <v>4998944.9800000004</v>
      </c>
      <c r="AG26" s="270">
        <v>153</v>
      </c>
      <c r="AH26" s="525">
        <v>107298.06</v>
      </c>
      <c r="AI26" s="529">
        <f t="shared" si="9"/>
        <v>0</v>
      </c>
      <c r="AJ26" s="530">
        <f t="shared" si="10"/>
        <v>25372</v>
      </c>
      <c r="AK26" s="531">
        <f t="shared" si="3"/>
        <v>14271</v>
      </c>
      <c r="AL26" s="532">
        <f t="shared" si="11"/>
        <v>27299793.120000079</v>
      </c>
      <c r="AM26" s="533">
        <f t="shared" si="12"/>
        <v>47585234.453678712</v>
      </c>
      <c r="AN26" s="276">
        <f t="shared" si="13"/>
        <v>129071656.45367889</v>
      </c>
      <c r="AO26" s="277">
        <f t="shared" si="0"/>
        <v>41516222.109999985</v>
      </c>
      <c r="AP26" s="331"/>
      <c r="AQ26" s="278">
        <f t="shared" si="14"/>
        <v>121875788.13367888</v>
      </c>
      <c r="AR26" s="331">
        <v>129071656.45367886</v>
      </c>
      <c r="AS26" s="281">
        <f t="shared" si="6"/>
        <v>0</v>
      </c>
    </row>
    <row r="27" spans="1:45" x14ac:dyDescent="0.25">
      <c r="A27" s="261">
        <v>24</v>
      </c>
      <c r="B27" s="5">
        <v>390240</v>
      </c>
      <c r="C27" s="238" t="s">
        <v>34</v>
      </c>
      <c r="D27" s="507">
        <v>121275686.90999997</v>
      </c>
      <c r="E27" s="495">
        <v>-10004781.720000107</v>
      </c>
      <c r="F27" s="527">
        <v>10783</v>
      </c>
      <c r="G27" s="267">
        <f t="shared" si="16"/>
        <v>71224086.62917845</v>
      </c>
      <c r="H27" s="527">
        <v>86993</v>
      </c>
      <c r="I27" s="267">
        <f>'АПП+Стомат._план'!I27</f>
        <v>31448382.052773356</v>
      </c>
      <c r="J27" s="527">
        <v>6241</v>
      </c>
      <c r="K27" s="267">
        <f>'АПП+Стомат._план'!K27</f>
        <v>8598436.5080480613</v>
      </c>
      <c r="L27" s="528"/>
      <c r="M27" s="495"/>
      <c r="N27" s="264"/>
      <c r="O27" s="262"/>
      <c r="P27" s="267">
        <v>2323009.7406059336</v>
      </c>
      <c r="Q27" s="528"/>
      <c r="R27" s="495"/>
      <c r="S27" s="264"/>
      <c r="T27" s="262"/>
      <c r="U27" s="508">
        <v>8127</v>
      </c>
      <c r="V27" s="509">
        <v>23986651.530000001</v>
      </c>
      <c r="W27" s="508">
        <v>8625</v>
      </c>
      <c r="X27" s="509">
        <v>11454907.900000652</v>
      </c>
      <c r="Y27" s="508">
        <v>2595</v>
      </c>
      <c r="Z27" s="509">
        <v>3317038.6599999852</v>
      </c>
      <c r="AA27" s="508">
        <v>6663</v>
      </c>
      <c r="AB27" s="509">
        <v>12338477.869999999</v>
      </c>
      <c r="AC27" s="524">
        <v>269</v>
      </c>
      <c r="AD27" s="271">
        <v>888131.24</v>
      </c>
      <c r="AE27" s="270">
        <v>4334</v>
      </c>
      <c r="AF27" s="271">
        <v>5125879.07</v>
      </c>
      <c r="AG27" s="270">
        <v>0</v>
      </c>
      <c r="AH27" s="525">
        <v>0</v>
      </c>
      <c r="AI27" s="529">
        <f t="shared" si="9"/>
        <v>0</v>
      </c>
      <c r="AJ27" s="530">
        <f t="shared" si="10"/>
        <v>30344</v>
      </c>
      <c r="AK27" s="531">
        <f t="shared" si="3"/>
        <v>17385</v>
      </c>
      <c r="AL27" s="532">
        <f t="shared" si="11"/>
        <v>39642168.059999987</v>
      </c>
      <c r="AM27" s="533">
        <f t="shared" si="12"/>
        <v>59434096.010606579</v>
      </c>
      <c r="AN27" s="276">
        <f t="shared" si="13"/>
        <v>170705001.20060644</v>
      </c>
      <c r="AO27" s="277">
        <f t="shared" si="0"/>
        <v>57111086.270000644</v>
      </c>
      <c r="AP27" s="331"/>
      <c r="AQ27" s="278">
        <f t="shared" si="14"/>
        <v>164690990.89060643</v>
      </c>
      <c r="AR27" s="331">
        <v>170705001.20060644</v>
      </c>
      <c r="AS27" s="281">
        <f t="shared" si="6"/>
        <v>0</v>
      </c>
    </row>
    <row r="28" spans="1:45" ht="14.25" customHeight="1" x14ac:dyDescent="0.25">
      <c r="A28" s="261">
        <v>25</v>
      </c>
      <c r="B28" s="5">
        <v>390290</v>
      </c>
      <c r="C28" s="238" t="s">
        <v>35</v>
      </c>
      <c r="D28" s="507">
        <v>33632949.469999999</v>
      </c>
      <c r="E28" s="495">
        <v>-1870926.5500000035</v>
      </c>
      <c r="F28" s="527">
        <v>6029</v>
      </c>
      <c r="G28" s="267">
        <f t="shared" si="16"/>
        <v>16868722.588012971</v>
      </c>
      <c r="H28" s="527">
        <v>8307</v>
      </c>
      <c r="I28" s="267">
        <f>'АПП+Стомат._план'!I28</f>
        <v>12254080.331987025</v>
      </c>
      <c r="J28" s="527">
        <v>3071</v>
      </c>
      <c r="K28" s="267">
        <f>'АПП+Стомат._план'!K28</f>
        <v>2639220</v>
      </c>
      <c r="L28" s="528"/>
      <c r="M28" s="495"/>
      <c r="N28" s="264"/>
      <c r="O28" s="262"/>
      <c r="P28" s="267">
        <v>10021.008787162951</v>
      </c>
      <c r="Q28" s="528"/>
      <c r="R28" s="495"/>
      <c r="S28" s="264"/>
      <c r="T28" s="262"/>
      <c r="U28" s="508">
        <v>2553</v>
      </c>
      <c r="V28" s="509">
        <v>7674730.9000000004</v>
      </c>
      <c r="W28" s="508">
        <v>2352</v>
      </c>
      <c r="X28" s="509">
        <v>2837051.3900000304</v>
      </c>
      <c r="Y28" s="508">
        <v>828</v>
      </c>
      <c r="Z28" s="509">
        <v>1009051.280000015</v>
      </c>
      <c r="AA28" s="508">
        <v>2071</v>
      </c>
      <c r="AB28" s="509">
        <v>4290099.5999999996</v>
      </c>
      <c r="AC28" s="524">
        <v>340</v>
      </c>
      <c r="AD28" s="271">
        <v>772030.76</v>
      </c>
      <c r="AE28" s="270">
        <v>1013</v>
      </c>
      <c r="AF28" s="271">
        <v>922650.66</v>
      </c>
      <c r="AG28" s="270">
        <v>0</v>
      </c>
      <c r="AH28" s="525">
        <v>0</v>
      </c>
      <c r="AI28" s="529">
        <f t="shared" si="9"/>
        <v>0</v>
      </c>
      <c r="AJ28" s="530">
        <f t="shared" si="10"/>
        <v>8817</v>
      </c>
      <c r="AK28" s="531">
        <f t="shared" si="3"/>
        <v>5452</v>
      </c>
      <c r="AL28" s="532">
        <f t="shared" si="11"/>
        <v>12973881.780000014</v>
      </c>
      <c r="AM28" s="533">
        <f t="shared" si="12"/>
        <v>17515635.598787207</v>
      </c>
      <c r="AN28" s="276">
        <f t="shared" si="13"/>
        <v>49277658.518787198</v>
      </c>
      <c r="AO28" s="277">
        <f t="shared" si="0"/>
        <v>17505614.590000045</v>
      </c>
      <c r="AP28" s="331"/>
      <c r="AQ28" s="278">
        <f t="shared" si="14"/>
        <v>47582977.098787203</v>
      </c>
      <c r="AR28" s="331">
        <v>49277658.518787198</v>
      </c>
      <c r="AS28" s="281">
        <f t="shared" si="6"/>
        <v>0</v>
      </c>
    </row>
    <row r="29" spans="1:45" x14ac:dyDescent="0.25">
      <c r="A29" s="261">
        <v>26</v>
      </c>
      <c r="B29" s="5">
        <v>390380</v>
      </c>
      <c r="C29" s="238" t="s">
        <v>36</v>
      </c>
      <c r="D29" s="507">
        <v>16770657.710000003</v>
      </c>
      <c r="E29" s="495">
        <v>-3898746.9599999525</v>
      </c>
      <c r="F29" s="527">
        <v>6837</v>
      </c>
      <c r="G29" s="548">
        <f t="shared" ref="G29:G38" si="17">D29+E29+P29-I29-K29</f>
        <v>7615184.5777090453</v>
      </c>
      <c r="H29" s="527">
        <v>2526</v>
      </c>
      <c r="I29" s="267">
        <f>'АПП+Стомат._план'!I29</f>
        <v>2104414.7712369096</v>
      </c>
      <c r="J29" s="527">
        <v>2412</v>
      </c>
      <c r="K29" s="267">
        <f>'АПП+Стомат._план'!K29</f>
        <v>1666729</v>
      </c>
      <c r="L29" s="528"/>
      <c r="M29" s="495"/>
      <c r="N29" s="264"/>
      <c r="O29" s="262"/>
      <c r="P29" s="267">
        <v>-1485582.4010540948</v>
      </c>
      <c r="Q29" s="528"/>
      <c r="R29" s="495"/>
      <c r="S29" s="264"/>
      <c r="T29" s="262"/>
      <c r="U29" s="508">
        <v>1584</v>
      </c>
      <c r="V29" s="509">
        <v>4300767.8599999994</v>
      </c>
      <c r="W29" s="508">
        <v>1734</v>
      </c>
      <c r="X29" s="509">
        <v>2143775.09999996</v>
      </c>
      <c r="Y29" s="508">
        <v>538</v>
      </c>
      <c r="Z29" s="509">
        <v>833791.10000000452</v>
      </c>
      <c r="AA29" s="508">
        <v>1332</v>
      </c>
      <c r="AB29" s="509">
        <v>2436899.79</v>
      </c>
      <c r="AC29" s="524">
        <v>84</v>
      </c>
      <c r="AD29" s="271">
        <v>327198.92</v>
      </c>
      <c r="AE29" s="270">
        <v>420</v>
      </c>
      <c r="AF29" s="271">
        <v>403616.77</v>
      </c>
      <c r="AG29" s="270">
        <v>16</v>
      </c>
      <c r="AH29" s="525">
        <v>19800.16</v>
      </c>
      <c r="AI29" s="529">
        <f t="shared" si="9"/>
        <v>0</v>
      </c>
      <c r="AJ29" s="530">
        <f t="shared" si="10"/>
        <v>5624</v>
      </c>
      <c r="AK29" s="531">
        <f t="shared" si="3"/>
        <v>3454</v>
      </c>
      <c r="AL29" s="532">
        <f t="shared" si="11"/>
        <v>7571458.7500000037</v>
      </c>
      <c r="AM29" s="533">
        <f t="shared" si="12"/>
        <v>8980267.2989458684</v>
      </c>
      <c r="AN29" s="276">
        <f t="shared" si="13"/>
        <v>21852178.048945919</v>
      </c>
      <c r="AO29" s="277">
        <f t="shared" si="0"/>
        <v>10465849.699999964</v>
      </c>
      <c r="AP29" s="331"/>
      <c r="AQ29" s="278">
        <f t="shared" si="14"/>
        <v>21101562.198945917</v>
      </c>
      <c r="AR29" s="331">
        <v>21852178.048945922</v>
      </c>
      <c r="AS29" s="281">
        <f t="shared" si="6"/>
        <v>0</v>
      </c>
    </row>
    <row r="30" spans="1:45" x14ac:dyDescent="0.25">
      <c r="A30" s="261">
        <v>27</v>
      </c>
      <c r="B30" s="5">
        <v>390370</v>
      </c>
      <c r="C30" s="238" t="s">
        <v>37</v>
      </c>
      <c r="D30" s="507">
        <v>34192010.740000002</v>
      </c>
      <c r="E30" s="495">
        <v>-4408819.6499999398</v>
      </c>
      <c r="F30" s="527">
        <v>12886</v>
      </c>
      <c r="G30" s="548">
        <f t="shared" si="17"/>
        <v>22044543.975882225</v>
      </c>
      <c r="H30" s="527">
        <v>3723</v>
      </c>
      <c r="I30" s="267">
        <f>'АПП+Стомат._план'!I30</f>
        <v>3619270.3265031371</v>
      </c>
      <c r="J30" s="527">
        <v>5048</v>
      </c>
      <c r="K30" s="267">
        <f>'АПП+Стомат._план'!K30</f>
        <v>2827040</v>
      </c>
      <c r="L30" s="528"/>
      <c r="M30" s="495"/>
      <c r="N30" s="264"/>
      <c r="O30" s="262"/>
      <c r="P30" s="267">
        <v>-1292336.7876147041</v>
      </c>
      <c r="Q30" s="528"/>
      <c r="R30" s="495"/>
      <c r="S30" s="264"/>
      <c r="T30" s="262"/>
      <c r="U30" s="508">
        <v>2636</v>
      </c>
      <c r="V30" s="509">
        <v>7427033.3300000001</v>
      </c>
      <c r="W30" s="508">
        <v>2928</v>
      </c>
      <c r="X30" s="509">
        <v>3637684.6900001178</v>
      </c>
      <c r="Y30" s="508">
        <v>791</v>
      </c>
      <c r="Z30" s="509">
        <v>1113988.7200000051</v>
      </c>
      <c r="AA30" s="508">
        <v>2397</v>
      </c>
      <c r="AB30" s="509">
        <v>5295389.58</v>
      </c>
      <c r="AC30" s="524">
        <v>111</v>
      </c>
      <c r="AD30" s="271">
        <v>359912.44</v>
      </c>
      <c r="AE30" s="270">
        <v>1283</v>
      </c>
      <c r="AF30" s="271">
        <v>1439104.5</v>
      </c>
      <c r="AG30" s="270">
        <v>1</v>
      </c>
      <c r="AH30" s="525">
        <v>1237.51</v>
      </c>
      <c r="AI30" s="529">
        <f t="shared" si="9"/>
        <v>0</v>
      </c>
      <c r="AJ30" s="530">
        <f t="shared" si="10"/>
        <v>10036</v>
      </c>
      <c r="AK30" s="531">
        <f t="shared" si="3"/>
        <v>5824</v>
      </c>
      <c r="AL30" s="532">
        <f t="shared" si="11"/>
        <v>13836411.630000005</v>
      </c>
      <c r="AM30" s="533">
        <f t="shared" si="12"/>
        <v>17982013.982385419</v>
      </c>
      <c r="AN30" s="276">
        <f t="shared" si="13"/>
        <v>47765205.072385482</v>
      </c>
      <c r="AO30" s="277">
        <f t="shared" si="0"/>
        <v>19274350.770000122</v>
      </c>
      <c r="AP30" s="331"/>
      <c r="AQ30" s="278">
        <f t="shared" si="14"/>
        <v>45964950.622385487</v>
      </c>
      <c r="AR30" s="331">
        <v>47765205.072385475</v>
      </c>
      <c r="AS30" s="281">
        <f t="shared" si="6"/>
        <v>0</v>
      </c>
    </row>
    <row r="31" spans="1:45" x14ac:dyDescent="0.25">
      <c r="A31" s="261">
        <v>28</v>
      </c>
      <c r="B31" s="5">
        <v>390480</v>
      </c>
      <c r="C31" s="238" t="s">
        <v>96</v>
      </c>
      <c r="D31" s="507">
        <v>103227362.13</v>
      </c>
      <c r="E31" s="495">
        <v>-12148643.140000343</v>
      </c>
      <c r="F31" s="527">
        <v>15860</v>
      </c>
      <c r="G31" s="548">
        <f t="shared" si="17"/>
        <v>65329507.70878493</v>
      </c>
      <c r="H31" s="527">
        <v>32045</v>
      </c>
      <c r="I31" s="267">
        <f>'АПП+Стомат._план'!I31</f>
        <v>15895809.689071395</v>
      </c>
      <c r="J31" s="527">
        <v>9257</v>
      </c>
      <c r="K31" s="267">
        <f>'АПП+Стомат._план'!K31</f>
        <v>9775177.5608490482</v>
      </c>
      <c r="L31" s="528"/>
      <c r="M31" s="495"/>
      <c r="N31" s="264"/>
      <c r="O31" s="262"/>
      <c r="P31" s="267">
        <v>-78224.031294284388</v>
      </c>
      <c r="Q31" s="528"/>
      <c r="R31" s="495"/>
      <c r="S31" s="264"/>
      <c r="T31" s="262"/>
      <c r="U31" s="508">
        <v>9493</v>
      </c>
      <c r="V31" s="509">
        <v>28160254.050000001</v>
      </c>
      <c r="W31" s="508">
        <v>12419</v>
      </c>
      <c r="X31" s="509">
        <v>16118529.189999761</v>
      </c>
      <c r="Y31" s="508">
        <v>3048</v>
      </c>
      <c r="Z31" s="509">
        <v>5237220.0900000073</v>
      </c>
      <c r="AA31" s="508">
        <v>7453</v>
      </c>
      <c r="AB31" s="509">
        <v>15242757.539999999</v>
      </c>
      <c r="AC31" s="524">
        <v>1518</v>
      </c>
      <c r="AD31" s="271">
        <v>3154272.32</v>
      </c>
      <c r="AE31" s="270">
        <v>6542</v>
      </c>
      <c r="AF31" s="271">
        <v>5923208.6600000001</v>
      </c>
      <c r="AG31" s="270">
        <v>244</v>
      </c>
      <c r="AH31" s="525">
        <v>224270.61</v>
      </c>
      <c r="AI31" s="529">
        <f t="shared" si="9"/>
        <v>0</v>
      </c>
      <c r="AJ31" s="530">
        <f t="shared" si="10"/>
        <v>39199</v>
      </c>
      <c r="AK31" s="531">
        <f t="shared" si="3"/>
        <v>19994</v>
      </c>
      <c r="AL31" s="532">
        <f t="shared" si="11"/>
        <v>48640231.680000007</v>
      </c>
      <c r="AM31" s="533">
        <f t="shared" si="12"/>
        <v>73982288.428705484</v>
      </c>
      <c r="AN31" s="276">
        <f t="shared" si="13"/>
        <v>165061007.41870514</v>
      </c>
      <c r="AO31" s="277">
        <f t="shared" si="0"/>
        <v>74060512.45999977</v>
      </c>
      <c r="AP31" s="331"/>
      <c r="AQ31" s="278">
        <f t="shared" si="14"/>
        <v>155759255.82870513</v>
      </c>
      <c r="AR31" s="331">
        <v>165061007.41870517</v>
      </c>
      <c r="AS31" s="281">
        <f t="shared" si="6"/>
        <v>0</v>
      </c>
    </row>
    <row r="32" spans="1:45" x14ac:dyDescent="0.25">
      <c r="A32" s="261">
        <v>29</v>
      </c>
      <c r="B32" s="5">
        <v>390260</v>
      </c>
      <c r="C32" s="238" t="s">
        <v>38</v>
      </c>
      <c r="D32" s="507">
        <v>58329212.170000002</v>
      </c>
      <c r="E32" s="495">
        <v>-3994516.6699999389</v>
      </c>
      <c r="F32" s="527">
        <v>6655</v>
      </c>
      <c r="G32" s="548">
        <f t="shared" si="17"/>
        <v>32385033.112622898</v>
      </c>
      <c r="H32" s="527">
        <v>5975</v>
      </c>
      <c r="I32" s="267">
        <f>'АПП+Стомат._план'!I32</f>
        <v>15650719.758044936</v>
      </c>
      <c r="J32" s="527">
        <v>927</v>
      </c>
      <c r="K32" s="267">
        <f>'АПП+Стомат._план'!K32</f>
        <v>4208455.9471302433</v>
      </c>
      <c r="L32" s="528"/>
      <c r="M32" s="495"/>
      <c r="N32" s="264"/>
      <c r="O32" s="262"/>
      <c r="P32" s="267">
        <v>-2090486.6822019839</v>
      </c>
      <c r="Q32" s="528"/>
      <c r="R32" s="495"/>
      <c r="S32" s="264"/>
      <c r="T32" s="262"/>
      <c r="U32" s="508">
        <v>3990</v>
      </c>
      <c r="V32" s="509">
        <v>11279777.52</v>
      </c>
      <c r="W32" s="508">
        <v>5449</v>
      </c>
      <c r="X32" s="509">
        <v>6821174.3600003356</v>
      </c>
      <c r="Y32" s="508">
        <v>1322</v>
      </c>
      <c r="Z32" s="509">
        <v>2164724.2300000219</v>
      </c>
      <c r="AA32" s="508">
        <v>3537</v>
      </c>
      <c r="AB32" s="509">
        <v>8372341.9900000002</v>
      </c>
      <c r="AC32" s="524">
        <v>49</v>
      </c>
      <c r="AD32" s="271">
        <v>102292.96</v>
      </c>
      <c r="AE32" s="270">
        <v>4688</v>
      </c>
      <c r="AF32" s="271">
        <v>3397600.32</v>
      </c>
      <c r="AG32" s="270">
        <v>0</v>
      </c>
      <c r="AH32" s="525">
        <v>0</v>
      </c>
      <c r="AI32" s="529">
        <f t="shared" si="9"/>
        <v>0</v>
      </c>
      <c r="AJ32" s="530">
        <f t="shared" si="10"/>
        <v>18986</v>
      </c>
      <c r="AK32" s="531">
        <f t="shared" si="3"/>
        <v>8849</v>
      </c>
      <c r="AL32" s="532">
        <f t="shared" si="11"/>
        <v>21816843.740000024</v>
      </c>
      <c r="AM32" s="533">
        <f t="shared" si="12"/>
        <v>30047424.697798379</v>
      </c>
      <c r="AN32" s="276">
        <f t="shared" si="13"/>
        <v>84382120.197798446</v>
      </c>
      <c r="AO32" s="277">
        <f t="shared" si="0"/>
        <v>32137911.380000364</v>
      </c>
      <c r="AP32" s="331"/>
      <c r="AQ32" s="278">
        <f t="shared" si="14"/>
        <v>80882226.91779846</v>
      </c>
      <c r="AR32" s="331">
        <v>84382120.197798431</v>
      </c>
      <c r="AS32" s="281">
        <f t="shared" si="6"/>
        <v>0</v>
      </c>
    </row>
    <row r="33" spans="1:45" x14ac:dyDescent="0.25">
      <c r="A33" s="261">
        <v>30</v>
      </c>
      <c r="B33" s="5">
        <v>390250</v>
      </c>
      <c r="C33" s="238" t="s">
        <v>39</v>
      </c>
      <c r="D33" s="507">
        <v>49916663.990000002</v>
      </c>
      <c r="E33" s="495">
        <v>-3428163.4899999285</v>
      </c>
      <c r="F33" s="527">
        <v>7806</v>
      </c>
      <c r="G33" s="548">
        <f t="shared" si="17"/>
        <v>24485195.915635731</v>
      </c>
      <c r="H33" s="527">
        <v>18975</v>
      </c>
      <c r="I33" s="267">
        <f>'АПП+Стомат._план'!I33</f>
        <v>16828779.392425213</v>
      </c>
      <c r="J33" s="527">
        <v>1810</v>
      </c>
      <c r="K33" s="267">
        <f>'АПП+Стомат._план'!K33</f>
        <v>3327894</v>
      </c>
      <c r="L33" s="528"/>
      <c r="M33" s="495"/>
      <c r="N33" s="264"/>
      <c r="O33" s="262"/>
      <c r="P33" s="267">
        <v>-1846631.1919391297</v>
      </c>
      <c r="Q33" s="528"/>
      <c r="R33" s="495"/>
      <c r="S33" s="264"/>
      <c r="T33" s="262"/>
      <c r="U33" s="508">
        <v>2093</v>
      </c>
      <c r="V33" s="509">
        <v>6459709.2599999998</v>
      </c>
      <c r="W33" s="508">
        <v>2669</v>
      </c>
      <c r="X33" s="509">
        <v>3288566.4100000658</v>
      </c>
      <c r="Y33" s="508">
        <v>867</v>
      </c>
      <c r="Z33" s="509">
        <v>1155037.9300000069</v>
      </c>
      <c r="AA33" s="508">
        <v>2539</v>
      </c>
      <c r="AB33" s="509">
        <v>5754339.4199999999</v>
      </c>
      <c r="AC33" s="524">
        <v>291</v>
      </c>
      <c r="AD33" s="271">
        <v>652548.85</v>
      </c>
      <c r="AE33" s="270">
        <v>976</v>
      </c>
      <c r="AF33" s="271">
        <v>778631.56</v>
      </c>
      <c r="AG33" s="270">
        <v>75</v>
      </c>
      <c r="AH33" s="525">
        <v>77786.09</v>
      </c>
      <c r="AI33" s="529">
        <f t="shared" si="9"/>
        <v>0</v>
      </c>
      <c r="AJ33" s="530">
        <f t="shared" si="10"/>
        <v>9219</v>
      </c>
      <c r="AK33" s="531">
        <f t="shared" si="3"/>
        <v>5499</v>
      </c>
      <c r="AL33" s="532">
        <f t="shared" si="11"/>
        <v>13369086.610000007</v>
      </c>
      <c r="AM33" s="533">
        <f t="shared" si="12"/>
        <v>16319988.328060944</v>
      </c>
      <c r="AN33" s="276">
        <f t="shared" si="13"/>
        <v>62808488.828061022</v>
      </c>
      <c r="AO33" s="277">
        <f t="shared" si="0"/>
        <v>18166619.520000074</v>
      </c>
      <c r="AP33" s="331"/>
      <c r="AQ33" s="278">
        <f t="shared" si="14"/>
        <v>61299522.328061014</v>
      </c>
      <c r="AR33" s="331">
        <v>62808488.828061022</v>
      </c>
      <c r="AS33" s="281">
        <f t="shared" si="6"/>
        <v>0</v>
      </c>
    </row>
    <row r="34" spans="1:45" x14ac:dyDescent="0.25">
      <c r="A34" s="261">
        <v>31</v>
      </c>
      <c r="B34" s="5">
        <v>390300</v>
      </c>
      <c r="C34" s="238" t="s">
        <v>40</v>
      </c>
      <c r="D34" s="507">
        <v>46915664.770000003</v>
      </c>
      <c r="E34" s="495">
        <v>-2507425.509999976</v>
      </c>
      <c r="F34" s="527">
        <v>7551</v>
      </c>
      <c r="G34" s="548">
        <f t="shared" si="17"/>
        <v>21686454.01809546</v>
      </c>
      <c r="H34" s="527">
        <v>18998</v>
      </c>
      <c r="I34" s="267">
        <f>'АПП+Стомат._план'!I34</f>
        <v>18165086.095880125</v>
      </c>
      <c r="J34" s="527">
        <v>5946</v>
      </c>
      <c r="K34" s="267">
        <f>'АПП+Стомат._план'!K34</f>
        <v>3087206</v>
      </c>
      <c r="L34" s="528"/>
      <c r="M34" s="495"/>
      <c r="N34" s="264"/>
      <c r="O34" s="262"/>
      <c r="P34" s="267">
        <v>-1469493.1460244437</v>
      </c>
      <c r="Q34" s="528"/>
      <c r="R34" s="495"/>
      <c r="S34" s="264"/>
      <c r="T34" s="262"/>
      <c r="U34" s="508">
        <v>3106</v>
      </c>
      <c r="V34" s="509">
        <v>9570679.9300000016</v>
      </c>
      <c r="W34" s="508">
        <v>3764</v>
      </c>
      <c r="X34" s="509">
        <v>4382805.6700000064</v>
      </c>
      <c r="Y34" s="508">
        <v>904</v>
      </c>
      <c r="Z34" s="509">
        <v>1689802</v>
      </c>
      <c r="AA34" s="508">
        <v>2347</v>
      </c>
      <c r="AB34" s="509">
        <v>3763792.6399999997</v>
      </c>
      <c r="AC34" s="524">
        <v>78</v>
      </c>
      <c r="AD34" s="271">
        <v>252253.46</v>
      </c>
      <c r="AE34" s="270">
        <v>1918</v>
      </c>
      <c r="AF34" s="271">
        <v>1671771</v>
      </c>
      <c r="AG34" s="270">
        <v>0</v>
      </c>
      <c r="AH34" s="525">
        <v>0</v>
      </c>
      <c r="AI34" s="529">
        <f t="shared" si="9"/>
        <v>0</v>
      </c>
      <c r="AJ34" s="530">
        <f t="shared" si="10"/>
        <v>12039</v>
      </c>
      <c r="AK34" s="531">
        <f t="shared" si="3"/>
        <v>6357</v>
      </c>
      <c r="AL34" s="532">
        <f t="shared" si="11"/>
        <v>15024274.57</v>
      </c>
      <c r="AM34" s="533">
        <f t="shared" si="12"/>
        <v>19861611.553975567</v>
      </c>
      <c r="AN34" s="276">
        <f t="shared" si="13"/>
        <v>64269850.813975595</v>
      </c>
      <c r="AO34" s="277">
        <f t="shared" si="0"/>
        <v>21331104.70000001</v>
      </c>
      <c r="AP34" s="331"/>
      <c r="AQ34" s="278">
        <f t="shared" si="14"/>
        <v>62345826.353975594</v>
      </c>
      <c r="AR34" s="331">
        <v>64269850.813975602</v>
      </c>
      <c r="AS34" s="281">
        <f t="shared" si="6"/>
        <v>0</v>
      </c>
    </row>
    <row r="35" spans="1:45" x14ac:dyDescent="0.25">
      <c r="A35" s="261">
        <v>32</v>
      </c>
      <c r="B35" s="5">
        <v>390310</v>
      </c>
      <c r="C35" s="238" t="s">
        <v>117</v>
      </c>
      <c r="D35" s="507">
        <v>60786576.219999999</v>
      </c>
      <c r="E35" s="495">
        <v>-6603081.6899998374</v>
      </c>
      <c r="F35" s="527">
        <v>7624</v>
      </c>
      <c r="G35" s="548">
        <f t="shared" si="17"/>
        <v>30795332.880385712</v>
      </c>
      <c r="H35" s="527">
        <v>21498</v>
      </c>
      <c r="I35" s="267">
        <f>'АПП+Стомат._план'!I35</f>
        <v>16242028.621750057</v>
      </c>
      <c r="J35" s="527">
        <v>5739</v>
      </c>
      <c r="K35" s="267">
        <f>'АПП+Стомат._план'!K35</f>
        <v>4481248</v>
      </c>
      <c r="L35" s="528"/>
      <c r="M35" s="495"/>
      <c r="N35" s="264"/>
      <c r="O35" s="262"/>
      <c r="P35" s="267">
        <v>-2664885.0278644003</v>
      </c>
      <c r="Q35" s="528"/>
      <c r="R35" s="495"/>
      <c r="S35" s="264"/>
      <c r="T35" s="262"/>
      <c r="U35" s="508">
        <v>4299</v>
      </c>
      <c r="V35" s="509">
        <v>12842902.060000001</v>
      </c>
      <c r="W35" s="508">
        <v>5114</v>
      </c>
      <c r="X35" s="509">
        <v>6411381.9200001219</v>
      </c>
      <c r="Y35" s="508">
        <v>1285</v>
      </c>
      <c r="Z35" s="509">
        <v>1877286.6999999657</v>
      </c>
      <c r="AA35" s="508">
        <v>3563</v>
      </c>
      <c r="AB35" s="509">
        <v>7819650.3099999996</v>
      </c>
      <c r="AC35" s="524">
        <v>345</v>
      </c>
      <c r="AD35" s="271">
        <v>826513.37</v>
      </c>
      <c r="AE35" s="270">
        <v>4912</v>
      </c>
      <c r="AF35" s="271">
        <v>3764940.42</v>
      </c>
      <c r="AG35" s="270">
        <v>136</v>
      </c>
      <c r="AH35" s="525">
        <v>97207.26</v>
      </c>
      <c r="AI35" s="529">
        <f t="shared" si="9"/>
        <v>0</v>
      </c>
      <c r="AJ35" s="530">
        <f t="shared" si="10"/>
        <v>19309</v>
      </c>
      <c r="AK35" s="531">
        <f t="shared" si="3"/>
        <v>9147</v>
      </c>
      <c r="AL35" s="532">
        <f t="shared" si="11"/>
        <v>22539839.069999967</v>
      </c>
      <c r="AM35" s="533">
        <f t="shared" si="12"/>
        <v>30974997.012135688</v>
      </c>
      <c r="AN35" s="276">
        <f t="shared" si="13"/>
        <v>85158491.54213585</v>
      </c>
      <c r="AO35" s="277">
        <f>AM35-P35</f>
        <v>33639882.040000089</v>
      </c>
      <c r="AP35" s="331"/>
      <c r="AQ35" s="278">
        <f t="shared" si="14"/>
        <v>80469830.492135838</v>
      </c>
      <c r="AR35" s="331">
        <v>85158491.542135864</v>
      </c>
      <c r="AS35" s="281">
        <f t="shared" si="6"/>
        <v>0</v>
      </c>
    </row>
    <row r="36" spans="1:45" x14ac:dyDescent="0.25">
      <c r="A36" s="261">
        <v>33</v>
      </c>
      <c r="B36" s="5">
        <v>390320</v>
      </c>
      <c r="C36" s="238" t="s">
        <v>102</v>
      </c>
      <c r="D36" s="507">
        <v>59825016.769999996</v>
      </c>
      <c r="E36" s="495">
        <v>-6580782.1999998577</v>
      </c>
      <c r="F36" s="527">
        <v>6338</v>
      </c>
      <c r="G36" s="548">
        <f t="shared" si="17"/>
        <v>27958443.221564218</v>
      </c>
      <c r="H36" s="527">
        <v>22967</v>
      </c>
      <c r="I36" s="267">
        <f>'АПП+Стомат._план'!I36</f>
        <v>18696645.629056774</v>
      </c>
      <c r="J36" s="527">
        <v>956</v>
      </c>
      <c r="K36" s="267">
        <f>'АПП+Стомат._план'!K36</f>
        <v>4484031</v>
      </c>
      <c r="L36" s="528"/>
      <c r="M36" s="495"/>
      <c r="N36" s="264"/>
      <c r="O36" s="262"/>
      <c r="P36" s="267">
        <v>-2105114.7193791512</v>
      </c>
      <c r="Q36" s="528"/>
      <c r="R36" s="495"/>
      <c r="S36" s="264"/>
      <c r="T36" s="262"/>
      <c r="U36" s="508">
        <v>4125</v>
      </c>
      <c r="V36" s="509">
        <v>12466347.4</v>
      </c>
      <c r="W36" s="508">
        <v>4336</v>
      </c>
      <c r="X36" s="509">
        <v>5126958.9300001198</v>
      </c>
      <c r="Y36" s="508">
        <v>1481</v>
      </c>
      <c r="Z36" s="509">
        <v>1982289.4799999699</v>
      </c>
      <c r="AA36" s="508">
        <v>3561</v>
      </c>
      <c r="AB36" s="509">
        <v>7054132.6299999999</v>
      </c>
      <c r="AC36" s="524">
        <v>229</v>
      </c>
      <c r="AD36" s="271">
        <v>458095.3</v>
      </c>
      <c r="AE36" s="270">
        <v>3612</v>
      </c>
      <c r="AF36" s="271">
        <v>3103691.58</v>
      </c>
      <c r="AG36" s="270">
        <v>148</v>
      </c>
      <c r="AH36" s="525">
        <v>153784.16</v>
      </c>
      <c r="AI36" s="529">
        <f t="shared" si="9"/>
        <v>0</v>
      </c>
      <c r="AJ36" s="530">
        <f t="shared" si="10"/>
        <v>17263</v>
      </c>
      <c r="AK36" s="531">
        <f t="shared" si="3"/>
        <v>9167</v>
      </c>
      <c r="AL36" s="532">
        <f t="shared" si="11"/>
        <v>21502769.509999972</v>
      </c>
      <c r="AM36" s="533">
        <f t="shared" si="12"/>
        <v>28240184.76062094</v>
      </c>
      <c r="AN36" s="276">
        <f t="shared" si="13"/>
        <v>81484419.330621079</v>
      </c>
      <c r="AO36" s="277">
        <f t="shared" si="0"/>
        <v>30345299.480000094</v>
      </c>
      <c r="AP36" s="331"/>
      <c r="AQ36" s="278">
        <f t="shared" si="14"/>
        <v>77768848.290621087</v>
      </c>
      <c r="AR36" s="331">
        <v>81484419.330621064</v>
      </c>
      <c r="AS36" s="281">
        <f t="shared" si="6"/>
        <v>0</v>
      </c>
    </row>
    <row r="37" spans="1:45" x14ac:dyDescent="0.25">
      <c r="A37" s="261">
        <v>34</v>
      </c>
      <c r="B37" s="5">
        <v>390180</v>
      </c>
      <c r="C37" s="238" t="s">
        <v>43</v>
      </c>
      <c r="D37" s="507">
        <v>81632795.760000005</v>
      </c>
      <c r="E37" s="495">
        <v>-10208492.72000009</v>
      </c>
      <c r="F37" s="527">
        <v>15022</v>
      </c>
      <c r="G37" s="548">
        <f t="shared" si="17"/>
        <v>48878072.930998616</v>
      </c>
      <c r="H37" s="527">
        <v>32798</v>
      </c>
      <c r="I37" s="267">
        <f>'АПП+Стомат._план'!I37</f>
        <v>11364139.196836079</v>
      </c>
      <c r="J37" s="527">
        <v>11826</v>
      </c>
      <c r="K37" s="267">
        <f>'АПП+Стомат._план'!K37</f>
        <v>7660973</v>
      </c>
      <c r="L37" s="528"/>
      <c r="M37" s="495"/>
      <c r="N37" s="264"/>
      <c r="O37" s="262"/>
      <c r="P37" s="267">
        <v>-3521117.9121652185</v>
      </c>
      <c r="Q37" s="528"/>
      <c r="R37" s="495"/>
      <c r="S37" s="264"/>
      <c r="T37" s="262"/>
      <c r="U37" s="508">
        <v>6397</v>
      </c>
      <c r="V37" s="509">
        <v>19273525.969999999</v>
      </c>
      <c r="W37" s="508">
        <v>9434</v>
      </c>
      <c r="X37" s="509">
        <v>11886036.470000675</v>
      </c>
      <c r="Y37" s="508">
        <v>2272</v>
      </c>
      <c r="Z37" s="509">
        <v>3057559.5899999817</v>
      </c>
      <c r="AA37" s="508">
        <v>5452</v>
      </c>
      <c r="AB37" s="509">
        <v>12034614.940000001</v>
      </c>
      <c r="AC37" s="524">
        <v>396</v>
      </c>
      <c r="AD37" s="271">
        <v>1315920.33</v>
      </c>
      <c r="AE37" s="270">
        <v>7526</v>
      </c>
      <c r="AF37" s="271">
        <v>10444146.91</v>
      </c>
      <c r="AG37" s="270">
        <v>0</v>
      </c>
      <c r="AH37" s="525">
        <v>0</v>
      </c>
      <c r="AI37" s="529">
        <f t="shared" si="9"/>
        <v>0</v>
      </c>
      <c r="AJ37" s="530">
        <f t="shared" si="10"/>
        <v>31081</v>
      </c>
      <c r="AK37" s="531">
        <f t="shared" si="3"/>
        <v>14121</v>
      </c>
      <c r="AL37" s="532">
        <f t="shared" si="11"/>
        <v>34365700.499999985</v>
      </c>
      <c r="AM37" s="533">
        <f t="shared" si="12"/>
        <v>54490686.297835439</v>
      </c>
      <c r="AN37" s="276">
        <f t="shared" si="13"/>
        <v>125914989.33783537</v>
      </c>
      <c r="AO37" s="277">
        <f t="shared" si="0"/>
        <v>58011804.210000657</v>
      </c>
      <c r="AP37" s="331"/>
      <c r="AQ37" s="278">
        <f t="shared" si="14"/>
        <v>114154922.09783538</v>
      </c>
      <c r="AR37" s="331">
        <v>125914989.33783534</v>
      </c>
      <c r="AS37" s="281">
        <f t="shared" si="6"/>
        <v>0</v>
      </c>
    </row>
    <row r="38" spans="1:45" x14ac:dyDescent="0.25">
      <c r="A38" s="261">
        <v>35</v>
      </c>
      <c r="B38" s="5">
        <v>390270</v>
      </c>
      <c r="C38" s="238" t="s">
        <v>100</v>
      </c>
      <c r="D38" s="507">
        <v>60468253.180000007</v>
      </c>
      <c r="E38" s="495">
        <v>-3799712.4999999325</v>
      </c>
      <c r="F38" s="527">
        <v>11237</v>
      </c>
      <c r="G38" s="548">
        <f t="shared" si="17"/>
        <v>32455176.748852827</v>
      </c>
      <c r="H38" s="527">
        <v>9779</v>
      </c>
      <c r="I38" s="267">
        <f>'АПП+Стомат._план'!I38</f>
        <v>19774478.251931943</v>
      </c>
      <c r="J38" s="527">
        <v>2530</v>
      </c>
      <c r="K38" s="267">
        <f>'АПП+Стомат._план'!K38</f>
        <v>4338644</v>
      </c>
      <c r="L38" s="528"/>
      <c r="M38" s="495"/>
      <c r="N38" s="264"/>
      <c r="O38" s="262"/>
      <c r="P38" s="267">
        <v>-100241.67921530386</v>
      </c>
      <c r="Q38" s="528"/>
      <c r="R38" s="495"/>
      <c r="S38" s="264"/>
      <c r="T38" s="262"/>
      <c r="U38" s="508">
        <v>3838</v>
      </c>
      <c r="V38" s="509">
        <v>11524755.26</v>
      </c>
      <c r="W38" s="508">
        <v>5009</v>
      </c>
      <c r="X38" s="509">
        <v>6157445.9200002095</v>
      </c>
      <c r="Y38" s="508">
        <v>1049</v>
      </c>
      <c r="Z38" s="509">
        <v>1580060.4899999702</v>
      </c>
      <c r="AA38" s="508">
        <v>3260</v>
      </c>
      <c r="AB38" s="509">
        <v>6817313.9400000004</v>
      </c>
      <c r="AC38" s="524">
        <v>293</v>
      </c>
      <c r="AD38" s="271">
        <v>741164.61</v>
      </c>
      <c r="AE38" s="270">
        <v>4206</v>
      </c>
      <c r="AF38" s="271">
        <v>3628247.77</v>
      </c>
      <c r="AG38" s="270">
        <v>0</v>
      </c>
      <c r="AH38" s="525">
        <v>0</v>
      </c>
      <c r="AI38" s="529">
        <f t="shared" si="9"/>
        <v>0</v>
      </c>
      <c r="AJ38" s="530">
        <f t="shared" si="10"/>
        <v>17362</v>
      </c>
      <c r="AK38" s="531">
        <f t="shared" si="3"/>
        <v>8147</v>
      </c>
      <c r="AL38" s="532">
        <f t="shared" si="11"/>
        <v>19922129.689999972</v>
      </c>
      <c r="AM38" s="533">
        <f t="shared" si="12"/>
        <v>30348746.310784873</v>
      </c>
      <c r="AN38" s="276">
        <f t="shared" si="13"/>
        <v>87017286.990784958</v>
      </c>
      <c r="AO38" s="277">
        <f t="shared" si="0"/>
        <v>30448987.990000177</v>
      </c>
      <c r="AP38" s="331"/>
      <c r="AQ38" s="278">
        <f t="shared" si="14"/>
        <v>82647874.610784963</v>
      </c>
      <c r="AR38" s="331">
        <v>87017286.990784958</v>
      </c>
      <c r="AS38" s="281">
        <f t="shared" si="6"/>
        <v>0</v>
      </c>
    </row>
    <row r="39" spans="1:45" x14ac:dyDescent="0.25">
      <c r="A39" s="261">
        <v>36</v>
      </c>
      <c r="B39" s="5">
        <v>390190</v>
      </c>
      <c r="C39" s="238" t="s">
        <v>45</v>
      </c>
      <c r="D39" s="507">
        <v>94296803.75999999</v>
      </c>
      <c r="E39" s="495">
        <v>-6712947.9699998302</v>
      </c>
      <c r="F39" s="527">
        <v>20993</v>
      </c>
      <c r="G39" s="267">
        <f t="shared" si="16"/>
        <v>65701005.508116394</v>
      </c>
      <c r="H39" s="527">
        <v>50064</v>
      </c>
      <c r="I39" s="267">
        <f>'АПП+Стомат._план'!I39</f>
        <v>12455672.281883769</v>
      </c>
      <c r="J39" s="527">
        <v>10599</v>
      </c>
      <c r="K39" s="267">
        <f>'АПП+Стомат._план'!K39</f>
        <v>9427178</v>
      </c>
      <c r="L39" s="528"/>
      <c r="M39" s="495"/>
      <c r="N39" s="264"/>
      <c r="O39" s="262"/>
      <c r="P39" s="267">
        <v>9653017.795693513</v>
      </c>
      <c r="Q39" s="528"/>
      <c r="R39" s="495"/>
      <c r="S39" s="264"/>
      <c r="T39" s="262"/>
      <c r="U39" s="508">
        <v>9847</v>
      </c>
      <c r="V39" s="509">
        <v>29181187.699999999</v>
      </c>
      <c r="W39" s="508">
        <v>6980</v>
      </c>
      <c r="X39" s="509">
        <v>9270926.6099998821</v>
      </c>
      <c r="Y39" s="508">
        <v>2575</v>
      </c>
      <c r="Z39" s="509">
        <v>4241273.1699997988</v>
      </c>
      <c r="AA39" s="508">
        <v>6995</v>
      </c>
      <c r="AB39" s="509">
        <v>15622653.5</v>
      </c>
      <c r="AC39" s="524">
        <v>0</v>
      </c>
      <c r="AD39" s="271">
        <v>0</v>
      </c>
      <c r="AE39" s="270">
        <v>0</v>
      </c>
      <c r="AF39" s="271">
        <v>0</v>
      </c>
      <c r="AG39" s="270">
        <v>0</v>
      </c>
      <c r="AH39" s="525">
        <v>0</v>
      </c>
      <c r="AI39" s="529">
        <f t="shared" si="9"/>
        <v>0</v>
      </c>
      <c r="AJ39" s="530">
        <f t="shared" si="10"/>
        <v>26397</v>
      </c>
      <c r="AK39" s="531">
        <f t="shared" si="3"/>
        <v>19417</v>
      </c>
      <c r="AL39" s="532">
        <f t="shared" si="11"/>
        <v>49045114.369999796</v>
      </c>
      <c r="AM39" s="533">
        <f t="shared" si="12"/>
        <v>67969058.775693193</v>
      </c>
      <c r="AN39" s="276">
        <f t="shared" si="13"/>
        <v>155552914.56569335</v>
      </c>
      <c r="AO39" s="277">
        <f t="shared" si="0"/>
        <v>58316040.979999676</v>
      </c>
      <c r="AP39" s="331"/>
      <c r="AQ39" s="278">
        <f t="shared" si="14"/>
        <v>155552914.56569335</v>
      </c>
      <c r="AR39" s="331">
        <v>155552914.56569338</v>
      </c>
      <c r="AS39" s="281">
        <f t="shared" si="6"/>
        <v>0</v>
      </c>
    </row>
    <row r="40" spans="1:45" x14ac:dyDescent="0.25">
      <c r="A40" s="261">
        <v>37</v>
      </c>
      <c r="B40" s="5">
        <v>390280</v>
      </c>
      <c r="C40" s="238" t="s">
        <v>101</v>
      </c>
      <c r="D40" s="507">
        <v>130085803.95999998</v>
      </c>
      <c r="E40" s="495">
        <v>-9611422.3399999291</v>
      </c>
      <c r="F40" s="527">
        <v>22689</v>
      </c>
      <c r="G40" s="548">
        <f t="shared" ref="G40:G41" si="18">D40+E40+P40-I40-K40</f>
        <v>83619901.275672957</v>
      </c>
      <c r="H40" s="527">
        <v>29375</v>
      </c>
      <c r="I40" s="267">
        <f>'АПП+Стомат._план'!I40</f>
        <v>25321486.946182653</v>
      </c>
      <c r="J40" s="527">
        <v>9937</v>
      </c>
      <c r="K40" s="267">
        <f>'АПП+Стомат._план'!K40</f>
        <v>11187122</v>
      </c>
      <c r="L40" s="528"/>
      <c r="M40" s="495"/>
      <c r="N40" s="264"/>
      <c r="O40" s="262"/>
      <c r="P40" s="267">
        <v>-345871.39814443514</v>
      </c>
      <c r="Q40" s="528"/>
      <c r="R40" s="495"/>
      <c r="S40" s="264"/>
      <c r="T40" s="262"/>
      <c r="U40" s="508">
        <v>9414</v>
      </c>
      <c r="V40" s="509">
        <v>28470794.899999999</v>
      </c>
      <c r="W40" s="508">
        <v>7610</v>
      </c>
      <c r="X40" s="509">
        <v>10441926.570000367</v>
      </c>
      <c r="Y40" s="508">
        <v>2249</v>
      </c>
      <c r="Z40" s="509">
        <v>2712918.0699999081</v>
      </c>
      <c r="AA40" s="508">
        <v>9476</v>
      </c>
      <c r="AB40" s="509">
        <v>19863113.93</v>
      </c>
      <c r="AC40" s="524">
        <v>0</v>
      </c>
      <c r="AD40" s="271">
        <v>0</v>
      </c>
      <c r="AE40" s="270">
        <v>0</v>
      </c>
      <c r="AF40" s="271">
        <v>0</v>
      </c>
      <c r="AG40" s="270">
        <v>0</v>
      </c>
      <c r="AH40" s="525">
        <v>0</v>
      </c>
      <c r="AI40" s="529">
        <f t="shared" si="9"/>
        <v>0</v>
      </c>
      <c r="AJ40" s="530">
        <f t="shared" si="10"/>
        <v>28749</v>
      </c>
      <c r="AK40" s="531">
        <f t="shared" si="3"/>
        <v>21139</v>
      </c>
      <c r="AL40" s="532">
        <f t="shared" si="11"/>
        <v>51046826.899999902</v>
      </c>
      <c r="AM40" s="533">
        <f t="shared" si="12"/>
        <v>61142882.071855843</v>
      </c>
      <c r="AN40" s="276">
        <f t="shared" si="13"/>
        <v>181617263.69185591</v>
      </c>
      <c r="AO40" s="277">
        <f t="shared" si="0"/>
        <v>61488753.470000282</v>
      </c>
      <c r="AP40" s="331"/>
      <c r="AQ40" s="278">
        <f t="shared" si="14"/>
        <v>181617263.69185591</v>
      </c>
      <c r="AR40" s="331">
        <v>181617263.69185591</v>
      </c>
      <c r="AS40" s="281">
        <f t="shared" si="6"/>
        <v>0</v>
      </c>
    </row>
    <row r="41" spans="1:45" x14ac:dyDescent="0.25">
      <c r="A41" s="261">
        <v>38</v>
      </c>
      <c r="B41" s="5">
        <v>390600</v>
      </c>
      <c r="C41" s="238" t="s">
        <v>118</v>
      </c>
      <c r="D41" s="507">
        <v>31736954.989999995</v>
      </c>
      <c r="E41" s="495">
        <v>-5043011.1499998774</v>
      </c>
      <c r="F41" s="527">
        <v>1738</v>
      </c>
      <c r="G41" s="548">
        <f t="shared" si="18"/>
        <v>19241263.38256311</v>
      </c>
      <c r="H41" s="527">
        <v>57408</v>
      </c>
      <c r="I41" s="267">
        <f>'АПП+Стомат._план'!I41</f>
        <v>3453922.2694844827</v>
      </c>
      <c r="J41" s="527">
        <v>0</v>
      </c>
      <c r="K41" s="267">
        <f>'АПП+Стомат._план'!K41</f>
        <v>3741098</v>
      </c>
      <c r="L41" s="528"/>
      <c r="M41" s="495"/>
      <c r="N41" s="264"/>
      <c r="O41" s="262"/>
      <c r="P41" s="267">
        <v>-257660.18795252382</v>
      </c>
      <c r="Q41" s="528"/>
      <c r="R41" s="495"/>
      <c r="S41" s="264"/>
      <c r="T41" s="262"/>
      <c r="U41" s="508">
        <v>70</v>
      </c>
      <c r="V41" s="509">
        <v>159469.76000000001</v>
      </c>
      <c r="W41" s="508">
        <v>0</v>
      </c>
      <c r="X41" s="509">
        <v>0</v>
      </c>
      <c r="Y41" s="508">
        <v>38</v>
      </c>
      <c r="Z41" s="509">
        <v>55081.32999999998</v>
      </c>
      <c r="AA41" s="508">
        <v>31</v>
      </c>
      <c r="AB41" s="509">
        <v>38500.120000000003</v>
      </c>
      <c r="AC41" s="524">
        <v>1</v>
      </c>
      <c r="AD41" s="271">
        <v>1272.8699999999999</v>
      </c>
      <c r="AE41" s="270">
        <v>1213</v>
      </c>
      <c r="AF41" s="271">
        <v>1029739.03</v>
      </c>
      <c r="AG41" s="270">
        <v>0</v>
      </c>
      <c r="AH41" s="525">
        <v>0</v>
      </c>
      <c r="AI41" s="529">
        <f t="shared" si="9"/>
        <v>0</v>
      </c>
      <c r="AJ41" s="530">
        <f t="shared" si="10"/>
        <v>1352</v>
      </c>
      <c r="AK41" s="531">
        <f t="shared" si="3"/>
        <v>139</v>
      </c>
      <c r="AL41" s="532">
        <f t="shared" si="11"/>
        <v>253051.21</v>
      </c>
      <c r="AM41" s="533">
        <f t="shared" si="12"/>
        <v>1026402.9220474762</v>
      </c>
      <c r="AN41" s="276">
        <f t="shared" si="13"/>
        <v>27720346.762047596</v>
      </c>
      <c r="AO41" s="277">
        <f t="shared" si="0"/>
        <v>1284063.1099999999</v>
      </c>
      <c r="AP41" s="331"/>
      <c r="AQ41" s="278">
        <f t="shared" si="14"/>
        <v>26689334.862047594</v>
      </c>
      <c r="AR41" s="331">
        <v>27720346.762047596</v>
      </c>
      <c r="AS41" s="281">
        <f t="shared" si="6"/>
        <v>0</v>
      </c>
    </row>
    <row r="42" spans="1:45" x14ac:dyDescent="0.25">
      <c r="A42" s="261">
        <v>39</v>
      </c>
      <c r="B42" s="5">
        <v>390340</v>
      </c>
      <c r="C42" s="238" t="s">
        <v>119</v>
      </c>
      <c r="D42" s="507">
        <v>32629392.610000003</v>
      </c>
      <c r="E42" s="495">
        <v>-5397757.6399998451</v>
      </c>
      <c r="F42" s="527">
        <v>5806</v>
      </c>
      <c r="G42" s="267">
        <f t="shared" si="16"/>
        <v>19762066.977175802</v>
      </c>
      <c r="H42" s="527">
        <v>57268</v>
      </c>
      <c r="I42" s="267">
        <f>'АПП+Стомат._план'!I42</f>
        <v>3952462.992824357</v>
      </c>
      <c r="J42" s="527">
        <v>4049</v>
      </c>
      <c r="K42" s="267">
        <f>'АПП+Стомат._план'!K42</f>
        <v>3517105</v>
      </c>
      <c r="L42" s="528"/>
      <c r="M42" s="495"/>
      <c r="N42" s="264"/>
      <c r="O42" s="262"/>
      <c r="P42" s="267">
        <v>9516941.2090820372</v>
      </c>
      <c r="Q42" s="528"/>
      <c r="R42" s="495"/>
      <c r="S42" s="264"/>
      <c r="T42" s="262"/>
      <c r="U42" s="508">
        <v>4898</v>
      </c>
      <c r="V42" s="509">
        <v>13982358.289999999</v>
      </c>
      <c r="W42" s="508">
        <v>4367</v>
      </c>
      <c r="X42" s="509">
        <v>5408651.6600002293</v>
      </c>
      <c r="Y42" s="508">
        <v>1306</v>
      </c>
      <c r="Z42" s="509">
        <v>1565028.5399999858</v>
      </c>
      <c r="AA42" s="508">
        <v>1360</v>
      </c>
      <c r="AB42" s="509">
        <v>1871421.65</v>
      </c>
      <c r="AC42" s="524">
        <v>164</v>
      </c>
      <c r="AD42" s="271">
        <v>439571.28</v>
      </c>
      <c r="AE42" s="270">
        <v>2622</v>
      </c>
      <c r="AF42" s="271">
        <v>2658375</v>
      </c>
      <c r="AG42" s="270">
        <v>0</v>
      </c>
      <c r="AH42" s="525">
        <v>0</v>
      </c>
      <c r="AI42" s="529">
        <f t="shared" si="9"/>
        <v>0</v>
      </c>
      <c r="AJ42" s="530">
        <f t="shared" si="10"/>
        <v>14553</v>
      </c>
      <c r="AK42" s="531">
        <f t="shared" si="3"/>
        <v>7564</v>
      </c>
      <c r="AL42" s="532">
        <f t="shared" si="11"/>
        <v>17418808.479999986</v>
      </c>
      <c r="AM42" s="533">
        <f t="shared" si="12"/>
        <v>35442347.629082248</v>
      </c>
      <c r="AN42" s="276">
        <f t="shared" si="13"/>
        <v>62673982.599082403</v>
      </c>
      <c r="AO42" s="277">
        <f t="shared" si="0"/>
        <v>25925406.42000021</v>
      </c>
      <c r="AP42" s="331"/>
      <c r="AQ42" s="278">
        <f t="shared" si="14"/>
        <v>59576036.319082402</v>
      </c>
      <c r="AR42" s="331">
        <v>62673982.599082403</v>
      </c>
      <c r="AS42" s="281">
        <f t="shared" si="6"/>
        <v>0</v>
      </c>
    </row>
    <row r="43" spans="1:45" ht="15" customHeight="1" x14ac:dyDescent="0.25">
      <c r="A43" s="261">
        <v>40</v>
      </c>
      <c r="B43" s="5">
        <v>391000</v>
      </c>
      <c r="C43" s="6" t="s">
        <v>182</v>
      </c>
      <c r="D43" s="262"/>
      <c r="E43" s="263"/>
      <c r="F43" s="262"/>
      <c r="G43" s="262"/>
      <c r="H43" s="262"/>
      <c r="I43" s="262"/>
      <c r="J43" s="264"/>
      <c r="K43" s="262"/>
      <c r="L43" s="494">
        <v>0</v>
      </c>
      <c r="M43" s="495">
        <v>0</v>
      </c>
      <c r="N43" s="264"/>
      <c r="O43" s="262"/>
      <c r="P43" s="267">
        <v>214474.72</v>
      </c>
      <c r="Q43" s="494">
        <v>0</v>
      </c>
      <c r="R43" s="495">
        <v>0</v>
      </c>
      <c r="S43" s="264"/>
      <c r="T43" s="262"/>
      <c r="U43" s="268">
        <v>0</v>
      </c>
      <c r="V43" s="269">
        <v>0</v>
      </c>
      <c r="W43" s="268"/>
      <c r="X43" s="269"/>
      <c r="Y43" s="268"/>
      <c r="Z43" s="269"/>
      <c r="AA43" s="268"/>
      <c r="AB43" s="523"/>
      <c r="AC43" s="524">
        <v>7132</v>
      </c>
      <c r="AD43" s="271">
        <v>25548852.690000001</v>
      </c>
      <c r="AE43" s="270">
        <v>76963</v>
      </c>
      <c r="AF43" s="271">
        <v>93842857.180000007</v>
      </c>
      <c r="AG43" s="270">
        <v>1111</v>
      </c>
      <c r="AH43" s="525">
        <v>1108346.56</v>
      </c>
      <c r="AI43" s="526">
        <f t="shared" si="9"/>
        <v>0</v>
      </c>
      <c r="AJ43" s="272">
        <f t="shared" si="10"/>
        <v>78074</v>
      </c>
      <c r="AK43" s="273">
        <f t="shared" si="3"/>
        <v>0</v>
      </c>
      <c r="AL43" s="274">
        <f t="shared" si="3"/>
        <v>0</v>
      </c>
      <c r="AM43" s="275">
        <f t="shared" si="7"/>
        <v>120714531.15000001</v>
      </c>
      <c r="AN43" s="276">
        <f t="shared" ref="AN43:AN68" si="19">D43+AM43</f>
        <v>120714531.15000001</v>
      </c>
      <c r="AO43" s="277">
        <f t="shared" si="0"/>
        <v>120500056.43000001</v>
      </c>
      <c r="AP43" s="331"/>
      <c r="AQ43" s="278">
        <f t="shared" si="5"/>
        <v>214474.71999999508</v>
      </c>
      <c r="AR43" s="331">
        <v>120714531.15000001</v>
      </c>
      <c r="AS43" s="281">
        <f t="shared" si="6"/>
        <v>0</v>
      </c>
    </row>
    <row r="44" spans="1:45" ht="15" customHeight="1" x14ac:dyDescent="0.25">
      <c r="A44" s="261">
        <v>41</v>
      </c>
      <c r="B44" s="5">
        <v>390910</v>
      </c>
      <c r="C44" s="6" t="s">
        <v>145</v>
      </c>
      <c r="D44" s="262"/>
      <c r="E44" s="263"/>
      <c r="F44" s="262"/>
      <c r="G44" s="262"/>
      <c r="H44" s="262"/>
      <c r="I44" s="262"/>
      <c r="J44" s="264"/>
      <c r="K44" s="262"/>
      <c r="L44" s="494">
        <v>0</v>
      </c>
      <c r="M44" s="495">
        <v>0</v>
      </c>
      <c r="N44" s="264"/>
      <c r="O44" s="262"/>
      <c r="P44" s="267">
        <v>0</v>
      </c>
      <c r="Q44" s="494">
        <v>0</v>
      </c>
      <c r="R44" s="495">
        <v>0</v>
      </c>
      <c r="S44" s="264"/>
      <c r="T44" s="262"/>
      <c r="U44" s="268">
        <v>0</v>
      </c>
      <c r="V44" s="269">
        <v>0</v>
      </c>
      <c r="W44" s="268"/>
      <c r="X44" s="269"/>
      <c r="Y44" s="268"/>
      <c r="Z44" s="269"/>
      <c r="AA44" s="268"/>
      <c r="AB44" s="523"/>
      <c r="AC44" s="524">
        <v>3718</v>
      </c>
      <c r="AD44" s="271">
        <v>13295797.970000001</v>
      </c>
      <c r="AE44" s="270">
        <v>92868</v>
      </c>
      <c r="AF44" s="271">
        <v>133887739.23999999</v>
      </c>
      <c r="AG44" s="270">
        <v>4440</v>
      </c>
      <c r="AH44" s="525">
        <v>3348099.56</v>
      </c>
      <c r="AI44" s="526">
        <f t="shared" ref="AI44:AI87" si="20">L44+N44+S44</f>
        <v>0</v>
      </c>
      <c r="AJ44" s="272">
        <f t="shared" ref="AJ44:AJ87" si="21">Q44+U44+W44+Y44+AA44+AE44+AG44</f>
        <v>97308</v>
      </c>
      <c r="AK44" s="273">
        <f t="shared" si="3"/>
        <v>0</v>
      </c>
      <c r="AL44" s="274">
        <f t="shared" si="3"/>
        <v>0</v>
      </c>
      <c r="AM44" s="275">
        <f t="shared" si="7"/>
        <v>150531636.77000001</v>
      </c>
      <c r="AN44" s="276">
        <f t="shared" si="19"/>
        <v>150531636.77000001</v>
      </c>
      <c r="AO44" s="277">
        <f t="shared" si="0"/>
        <v>150531636.77000001</v>
      </c>
      <c r="AP44" s="331"/>
      <c r="AQ44" s="278">
        <f t="shared" si="5"/>
        <v>0</v>
      </c>
      <c r="AR44" s="331">
        <v>150531636.77000001</v>
      </c>
      <c r="AS44" s="281">
        <f t="shared" si="6"/>
        <v>0</v>
      </c>
    </row>
    <row r="45" spans="1:45" ht="15" customHeight="1" x14ac:dyDescent="0.25">
      <c r="A45" s="261">
        <v>42</v>
      </c>
      <c r="B45" s="5">
        <v>391020</v>
      </c>
      <c r="C45" s="6" t="s">
        <v>144</v>
      </c>
      <c r="D45" s="262"/>
      <c r="E45" s="263"/>
      <c r="F45" s="262"/>
      <c r="G45" s="262"/>
      <c r="H45" s="262"/>
      <c r="I45" s="262"/>
      <c r="J45" s="264"/>
      <c r="K45" s="262"/>
      <c r="L45" s="494">
        <v>0</v>
      </c>
      <c r="M45" s="495">
        <v>0</v>
      </c>
      <c r="N45" s="264"/>
      <c r="O45" s="262"/>
      <c r="P45" s="267">
        <v>0</v>
      </c>
      <c r="Q45" s="494">
        <v>0</v>
      </c>
      <c r="R45" s="495">
        <v>0</v>
      </c>
      <c r="S45" s="264"/>
      <c r="T45" s="262"/>
      <c r="U45" s="268">
        <v>0</v>
      </c>
      <c r="V45" s="269">
        <v>0</v>
      </c>
      <c r="W45" s="268"/>
      <c r="X45" s="269"/>
      <c r="Y45" s="268"/>
      <c r="Z45" s="269"/>
      <c r="AA45" s="268"/>
      <c r="AB45" s="523"/>
      <c r="AC45" s="524">
        <v>6194</v>
      </c>
      <c r="AD45" s="271">
        <v>23614487.199999999</v>
      </c>
      <c r="AE45" s="270">
        <v>54204</v>
      </c>
      <c r="AF45" s="271">
        <v>75380831.700000003</v>
      </c>
      <c r="AG45" s="270">
        <v>1060</v>
      </c>
      <c r="AH45" s="525">
        <v>1346240.38</v>
      </c>
      <c r="AI45" s="526">
        <f t="shared" si="20"/>
        <v>0</v>
      </c>
      <c r="AJ45" s="272">
        <f t="shared" si="21"/>
        <v>55264</v>
      </c>
      <c r="AK45" s="273">
        <f t="shared" si="3"/>
        <v>0</v>
      </c>
      <c r="AL45" s="274">
        <f t="shared" si="3"/>
        <v>0</v>
      </c>
      <c r="AM45" s="275">
        <f t="shared" si="7"/>
        <v>100341559.28</v>
      </c>
      <c r="AN45" s="276">
        <f t="shared" si="19"/>
        <v>100341559.28</v>
      </c>
      <c r="AO45" s="277">
        <f t="shared" si="0"/>
        <v>100341559.28</v>
      </c>
      <c r="AP45" s="331"/>
      <c r="AQ45" s="278">
        <f t="shared" si="5"/>
        <v>0</v>
      </c>
      <c r="AR45" s="331">
        <v>100341559.28</v>
      </c>
      <c r="AS45" s="281">
        <f t="shared" si="6"/>
        <v>0</v>
      </c>
    </row>
    <row r="46" spans="1:45" ht="15" customHeight="1" x14ac:dyDescent="0.25">
      <c r="A46" s="261">
        <v>43</v>
      </c>
      <c r="B46" s="5">
        <v>391110</v>
      </c>
      <c r="C46" s="6" t="s">
        <v>143</v>
      </c>
      <c r="D46" s="262"/>
      <c r="E46" s="263"/>
      <c r="F46" s="262"/>
      <c r="G46" s="262"/>
      <c r="H46" s="262"/>
      <c r="I46" s="262"/>
      <c r="J46" s="264"/>
      <c r="K46" s="262"/>
      <c r="L46" s="494">
        <v>0</v>
      </c>
      <c r="M46" s="495">
        <v>0</v>
      </c>
      <c r="N46" s="264"/>
      <c r="O46" s="262"/>
      <c r="P46" s="267">
        <v>0</v>
      </c>
      <c r="Q46" s="494">
        <v>0</v>
      </c>
      <c r="R46" s="495">
        <v>0</v>
      </c>
      <c r="S46" s="264"/>
      <c r="T46" s="262"/>
      <c r="U46" s="268">
        <v>0</v>
      </c>
      <c r="V46" s="269">
        <v>0</v>
      </c>
      <c r="W46" s="268"/>
      <c r="X46" s="269"/>
      <c r="Y46" s="268"/>
      <c r="Z46" s="269"/>
      <c r="AA46" s="268"/>
      <c r="AB46" s="523"/>
      <c r="AC46" s="524">
        <v>19</v>
      </c>
      <c r="AD46" s="271">
        <v>38862.01</v>
      </c>
      <c r="AE46" s="270">
        <v>27408</v>
      </c>
      <c r="AF46" s="271">
        <v>39665662.390000001</v>
      </c>
      <c r="AG46" s="270">
        <v>987</v>
      </c>
      <c r="AH46" s="525">
        <v>1311098.92</v>
      </c>
      <c r="AI46" s="526">
        <f t="shared" si="20"/>
        <v>0</v>
      </c>
      <c r="AJ46" s="272">
        <f t="shared" si="21"/>
        <v>28395</v>
      </c>
      <c r="AK46" s="273">
        <f t="shared" si="3"/>
        <v>0</v>
      </c>
      <c r="AL46" s="274">
        <f t="shared" si="3"/>
        <v>0</v>
      </c>
      <c r="AM46" s="275">
        <f t="shared" si="7"/>
        <v>41015623.32</v>
      </c>
      <c r="AN46" s="276">
        <f t="shared" si="19"/>
        <v>41015623.32</v>
      </c>
      <c r="AO46" s="277">
        <f t="shared" si="0"/>
        <v>41015623.32</v>
      </c>
      <c r="AP46" s="331"/>
      <c r="AQ46" s="278">
        <f t="shared" si="5"/>
        <v>-2.0881998352706432E-9</v>
      </c>
      <c r="AR46" s="331">
        <v>41015623.32</v>
      </c>
      <c r="AS46" s="281">
        <f t="shared" si="6"/>
        <v>0</v>
      </c>
    </row>
    <row r="47" spans="1:45" ht="15" customHeight="1" x14ac:dyDescent="0.25">
      <c r="A47" s="261">
        <v>44</v>
      </c>
      <c r="B47" s="5">
        <v>390286</v>
      </c>
      <c r="C47" s="6" t="s">
        <v>142</v>
      </c>
      <c r="D47" s="262"/>
      <c r="E47" s="263"/>
      <c r="F47" s="262"/>
      <c r="G47" s="262"/>
      <c r="H47" s="262"/>
      <c r="I47" s="262"/>
      <c r="J47" s="264"/>
      <c r="K47" s="262"/>
      <c r="L47" s="494">
        <v>0</v>
      </c>
      <c r="M47" s="495">
        <v>0</v>
      </c>
      <c r="N47" s="264"/>
      <c r="O47" s="262"/>
      <c r="P47" s="267">
        <v>0</v>
      </c>
      <c r="Q47" s="494">
        <v>0</v>
      </c>
      <c r="R47" s="495">
        <v>0</v>
      </c>
      <c r="S47" s="264"/>
      <c r="T47" s="262"/>
      <c r="U47" s="268">
        <v>0</v>
      </c>
      <c r="V47" s="269">
        <v>0</v>
      </c>
      <c r="W47" s="268"/>
      <c r="X47" s="269"/>
      <c r="Y47" s="268"/>
      <c r="Z47" s="269"/>
      <c r="AA47" s="268"/>
      <c r="AB47" s="523"/>
      <c r="AC47" s="524">
        <v>2662</v>
      </c>
      <c r="AD47" s="271">
        <v>9203664.7899999991</v>
      </c>
      <c r="AE47" s="270">
        <v>20997</v>
      </c>
      <c r="AF47" s="271">
        <v>24944114.649999999</v>
      </c>
      <c r="AG47" s="270">
        <v>0</v>
      </c>
      <c r="AH47" s="525">
        <v>0</v>
      </c>
      <c r="AI47" s="526">
        <f t="shared" si="20"/>
        <v>0</v>
      </c>
      <c r="AJ47" s="272">
        <f t="shared" si="21"/>
        <v>20997</v>
      </c>
      <c r="AK47" s="273">
        <f t="shared" si="3"/>
        <v>0</v>
      </c>
      <c r="AL47" s="274">
        <f t="shared" si="3"/>
        <v>0</v>
      </c>
      <c r="AM47" s="275">
        <f t="shared" si="7"/>
        <v>34147779.439999998</v>
      </c>
      <c r="AN47" s="276">
        <f t="shared" si="19"/>
        <v>34147779.439999998</v>
      </c>
      <c r="AO47" s="277">
        <f t="shared" si="0"/>
        <v>34147779.439999998</v>
      </c>
      <c r="AP47" s="331"/>
      <c r="AQ47" s="278">
        <f t="shared" si="5"/>
        <v>0</v>
      </c>
      <c r="AR47" s="331">
        <v>34147779.439999998</v>
      </c>
      <c r="AS47" s="281">
        <f t="shared" si="6"/>
        <v>0</v>
      </c>
    </row>
    <row r="48" spans="1:45" ht="15" customHeight="1" x14ac:dyDescent="0.25">
      <c r="A48" s="261">
        <v>45</v>
      </c>
      <c r="B48" s="5">
        <v>392240</v>
      </c>
      <c r="C48" s="6" t="s">
        <v>141</v>
      </c>
      <c r="D48" s="262"/>
      <c r="E48" s="263"/>
      <c r="F48" s="262"/>
      <c r="G48" s="262"/>
      <c r="H48" s="262"/>
      <c r="I48" s="262"/>
      <c r="J48" s="264"/>
      <c r="K48" s="262"/>
      <c r="L48" s="494">
        <v>0</v>
      </c>
      <c r="M48" s="495">
        <v>0</v>
      </c>
      <c r="N48" s="264"/>
      <c r="O48" s="262"/>
      <c r="P48" s="267">
        <v>0</v>
      </c>
      <c r="Q48" s="494">
        <v>0</v>
      </c>
      <c r="R48" s="495">
        <v>0</v>
      </c>
      <c r="S48" s="264"/>
      <c r="T48" s="262"/>
      <c r="U48" s="268">
        <v>0</v>
      </c>
      <c r="V48" s="269">
        <v>0</v>
      </c>
      <c r="W48" s="268"/>
      <c r="X48" s="269"/>
      <c r="Y48" s="268"/>
      <c r="Z48" s="269"/>
      <c r="AA48" s="268"/>
      <c r="AB48" s="523"/>
      <c r="AC48" s="524">
        <v>137</v>
      </c>
      <c r="AD48" s="271">
        <v>461262.84</v>
      </c>
      <c r="AE48" s="270">
        <v>1179</v>
      </c>
      <c r="AF48" s="271">
        <v>1860822.36</v>
      </c>
      <c r="AG48" s="270">
        <v>0</v>
      </c>
      <c r="AH48" s="525">
        <v>0</v>
      </c>
      <c r="AI48" s="526">
        <f t="shared" si="20"/>
        <v>0</v>
      </c>
      <c r="AJ48" s="272">
        <f t="shared" si="21"/>
        <v>1179</v>
      </c>
      <c r="AK48" s="273">
        <f t="shared" si="3"/>
        <v>0</v>
      </c>
      <c r="AL48" s="274">
        <f t="shared" si="3"/>
        <v>0</v>
      </c>
      <c r="AM48" s="275">
        <f t="shared" si="7"/>
        <v>2322085.2000000002</v>
      </c>
      <c r="AN48" s="276">
        <f t="shared" si="19"/>
        <v>2322085.2000000002</v>
      </c>
      <c r="AO48" s="277">
        <f t="shared" si="0"/>
        <v>2322085.2000000002</v>
      </c>
      <c r="AP48" s="331"/>
      <c r="AQ48" s="278">
        <f t="shared" si="5"/>
        <v>0</v>
      </c>
      <c r="AR48" s="331">
        <v>2322085.2000000002</v>
      </c>
      <c r="AS48" s="281">
        <f t="shared" si="6"/>
        <v>0</v>
      </c>
    </row>
    <row r="49" spans="1:45" ht="15" customHeight="1" x14ac:dyDescent="0.25">
      <c r="A49" s="261">
        <v>46</v>
      </c>
      <c r="B49" s="5">
        <v>391090</v>
      </c>
      <c r="C49" s="6" t="s">
        <v>140</v>
      </c>
      <c r="D49" s="262"/>
      <c r="E49" s="263"/>
      <c r="F49" s="262"/>
      <c r="G49" s="262"/>
      <c r="H49" s="262"/>
      <c r="I49" s="262"/>
      <c r="J49" s="264"/>
      <c r="K49" s="262"/>
      <c r="L49" s="494">
        <v>0</v>
      </c>
      <c r="M49" s="495">
        <v>0</v>
      </c>
      <c r="N49" s="264"/>
      <c r="O49" s="262"/>
      <c r="P49" s="267">
        <v>0</v>
      </c>
      <c r="Q49" s="494">
        <v>0</v>
      </c>
      <c r="R49" s="495">
        <v>0</v>
      </c>
      <c r="S49" s="264"/>
      <c r="T49" s="262"/>
      <c r="U49" s="268">
        <v>0</v>
      </c>
      <c r="V49" s="269">
        <v>0</v>
      </c>
      <c r="W49" s="268"/>
      <c r="X49" s="269"/>
      <c r="Y49" s="268"/>
      <c r="Z49" s="269"/>
      <c r="AA49" s="268"/>
      <c r="AB49" s="523"/>
      <c r="AC49" s="524">
        <v>2794</v>
      </c>
      <c r="AD49" s="271">
        <v>10037704.57</v>
      </c>
      <c r="AE49" s="270">
        <v>36492</v>
      </c>
      <c r="AF49" s="271">
        <v>63896228.07</v>
      </c>
      <c r="AG49" s="270">
        <v>791</v>
      </c>
      <c r="AH49" s="525">
        <v>830166.91</v>
      </c>
      <c r="AI49" s="526">
        <f t="shared" si="20"/>
        <v>0</v>
      </c>
      <c r="AJ49" s="272">
        <f t="shared" si="21"/>
        <v>37283</v>
      </c>
      <c r="AK49" s="273">
        <f t="shared" si="3"/>
        <v>0</v>
      </c>
      <c r="AL49" s="274">
        <f t="shared" si="3"/>
        <v>0</v>
      </c>
      <c r="AM49" s="275">
        <f t="shared" si="7"/>
        <v>74764099.549999997</v>
      </c>
      <c r="AN49" s="276">
        <f t="shared" si="19"/>
        <v>74764099.549999997</v>
      </c>
      <c r="AO49" s="277">
        <f t="shared" si="0"/>
        <v>74764099.549999997</v>
      </c>
      <c r="AP49" s="331"/>
      <c r="AQ49" s="278">
        <f t="shared" si="5"/>
        <v>0</v>
      </c>
      <c r="AR49" s="331">
        <v>74764099.549999997</v>
      </c>
      <c r="AS49" s="281">
        <f t="shared" si="6"/>
        <v>0</v>
      </c>
    </row>
    <row r="50" spans="1:45" ht="15" customHeight="1" x14ac:dyDescent="0.25">
      <c r="A50" s="261">
        <v>47</v>
      </c>
      <c r="B50" s="5">
        <v>391200</v>
      </c>
      <c r="C50" s="6" t="s">
        <v>139</v>
      </c>
      <c r="D50" s="262"/>
      <c r="E50" s="263"/>
      <c r="F50" s="262"/>
      <c r="G50" s="262"/>
      <c r="H50" s="262"/>
      <c r="I50" s="262"/>
      <c r="J50" s="264"/>
      <c r="K50" s="262"/>
      <c r="L50" s="494">
        <v>0</v>
      </c>
      <c r="M50" s="495">
        <v>0</v>
      </c>
      <c r="N50" s="264"/>
      <c r="O50" s="262"/>
      <c r="P50" s="267">
        <v>0</v>
      </c>
      <c r="Q50" s="494">
        <v>0</v>
      </c>
      <c r="R50" s="495">
        <v>0</v>
      </c>
      <c r="S50" s="264"/>
      <c r="T50" s="262"/>
      <c r="U50" s="268">
        <v>0</v>
      </c>
      <c r="V50" s="269">
        <v>0</v>
      </c>
      <c r="W50" s="268"/>
      <c r="X50" s="269"/>
      <c r="Y50" s="268"/>
      <c r="Z50" s="269"/>
      <c r="AA50" s="268"/>
      <c r="AB50" s="523"/>
      <c r="AC50" s="524">
        <v>718</v>
      </c>
      <c r="AD50" s="271">
        <v>2260811.37</v>
      </c>
      <c r="AE50" s="270">
        <v>7368</v>
      </c>
      <c r="AF50" s="271">
        <v>10909184.609999999</v>
      </c>
      <c r="AG50" s="270">
        <v>0</v>
      </c>
      <c r="AH50" s="525">
        <v>0</v>
      </c>
      <c r="AI50" s="526">
        <f t="shared" si="20"/>
        <v>0</v>
      </c>
      <c r="AJ50" s="272">
        <f t="shared" si="21"/>
        <v>7368</v>
      </c>
      <c r="AK50" s="273">
        <f t="shared" si="3"/>
        <v>0</v>
      </c>
      <c r="AL50" s="274">
        <f t="shared" si="3"/>
        <v>0</v>
      </c>
      <c r="AM50" s="275">
        <f t="shared" si="7"/>
        <v>13169995.98</v>
      </c>
      <c r="AN50" s="276">
        <f t="shared" si="19"/>
        <v>13169995.98</v>
      </c>
      <c r="AO50" s="277">
        <f t="shared" si="0"/>
        <v>13169995.98</v>
      </c>
      <c r="AP50" s="331"/>
      <c r="AQ50" s="278">
        <f t="shared" si="5"/>
        <v>0</v>
      </c>
      <c r="AR50" s="331">
        <v>13169995.98</v>
      </c>
      <c r="AS50" s="281">
        <f t="shared" si="6"/>
        <v>0</v>
      </c>
    </row>
    <row r="51" spans="1:45" ht="15" customHeight="1" x14ac:dyDescent="0.25">
      <c r="A51" s="261">
        <v>48</v>
      </c>
      <c r="B51" s="5">
        <v>391350</v>
      </c>
      <c r="C51" s="6" t="s">
        <v>138</v>
      </c>
      <c r="D51" s="262"/>
      <c r="E51" s="263"/>
      <c r="F51" s="262"/>
      <c r="G51" s="262"/>
      <c r="H51" s="262"/>
      <c r="I51" s="262"/>
      <c r="J51" s="264"/>
      <c r="K51" s="262"/>
      <c r="L51" s="494">
        <v>0</v>
      </c>
      <c r="M51" s="495">
        <v>0</v>
      </c>
      <c r="N51" s="264"/>
      <c r="O51" s="262"/>
      <c r="P51" s="267">
        <v>0</v>
      </c>
      <c r="Q51" s="494">
        <v>0</v>
      </c>
      <c r="R51" s="495">
        <v>0</v>
      </c>
      <c r="S51" s="264"/>
      <c r="T51" s="262"/>
      <c r="U51" s="268">
        <v>0</v>
      </c>
      <c r="V51" s="269">
        <v>0</v>
      </c>
      <c r="W51" s="268"/>
      <c r="X51" s="269"/>
      <c r="Y51" s="268"/>
      <c r="Z51" s="269"/>
      <c r="AA51" s="268"/>
      <c r="AB51" s="523"/>
      <c r="AC51" s="524">
        <v>167</v>
      </c>
      <c r="AD51" s="271">
        <v>767347.85</v>
      </c>
      <c r="AE51" s="270">
        <v>4616</v>
      </c>
      <c r="AF51" s="271">
        <v>9721048.4399999995</v>
      </c>
      <c r="AG51" s="270">
        <v>0</v>
      </c>
      <c r="AH51" s="525">
        <v>0</v>
      </c>
      <c r="AI51" s="526">
        <f t="shared" si="20"/>
        <v>0</v>
      </c>
      <c r="AJ51" s="272">
        <f t="shared" si="21"/>
        <v>4616</v>
      </c>
      <c r="AK51" s="273">
        <f t="shared" si="3"/>
        <v>0</v>
      </c>
      <c r="AL51" s="274">
        <f t="shared" si="3"/>
        <v>0</v>
      </c>
      <c r="AM51" s="275">
        <f t="shared" si="7"/>
        <v>10488396.289999999</v>
      </c>
      <c r="AN51" s="276">
        <f t="shared" si="19"/>
        <v>10488396.289999999</v>
      </c>
      <c r="AO51" s="277">
        <f t="shared" si="0"/>
        <v>10488396.289999999</v>
      </c>
      <c r="AP51" s="331"/>
      <c r="AQ51" s="278">
        <f t="shared" si="5"/>
        <v>0</v>
      </c>
      <c r="AR51" s="331">
        <v>10488396.289999999</v>
      </c>
      <c r="AS51" s="281">
        <f t="shared" si="6"/>
        <v>0</v>
      </c>
    </row>
    <row r="52" spans="1:45" ht="15" customHeight="1" x14ac:dyDescent="0.25">
      <c r="A52" s="261">
        <v>49</v>
      </c>
      <c r="B52" s="5">
        <v>391640</v>
      </c>
      <c r="C52" s="6" t="s">
        <v>137</v>
      </c>
      <c r="D52" s="262"/>
      <c r="E52" s="263"/>
      <c r="F52" s="262"/>
      <c r="G52" s="262"/>
      <c r="H52" s="262"/>
      <c r="I52" s="262"/>
      <c r="J52" s="264"/>
      <c r="K52" s="262"/>
      <c r="L52" s="494">
        <v>0</v>
      </c>
      <c r="M52" s="495">
        <v>0</v>
      </c>
      <c r="N52" s="264"/>
      <c r="O52" s="262"/>
      <c r="P52" s="267">
        <v>0</v>
      </c>
      <c r="Q52" s="494">
        <v>0</v>
      </c>
      <c r="R52" s="495">
        <v>0</v>
      </c>
      <c r="S52" s="264"/>
      <c r="T52" s="262"/>
      <c r="U52" s="268">
        <v>0</v>
      </c>
      <c r="V52" s="269">
        <v>0</v>
      </c>
      <c r="W52" s="268"/>
      <c r="X52" s="269"/>
      <c r="Y52" s="268"/>
      <c r="Z52" s="269"/>
      <c r="AA52" s="268"/>
      <c r="AB52" s="523"/>
      <c r="AC52" s="524">
        <v>208</v>
      </c>
      <c r="AD52" s="271">
        <v>986984.09</v>
      </c>
      <c r="AE52" s="270">
        <v>5972</v>
      </c>
      <c r="AF52" s="271">
        <v>12526276.380000001</v>
      </c>
      <c r="AG52" s="270">
        <v>0</v>
      </c>
      <c r="AH52" s="525">
        <v>0</v>
      </c>
      <c r="AI52" s="526">
        <f t="shared" si="20"/>
        <v>0</v>
      </c>
      <c r="AJ52" s="272">
        <f t="shared" si="21"/>
        <v>5972</v>
      </c>
      <c r="AK52" s="273">
        <f t="shared" si="3"/>
        <v>0</v>
      </c>
      <c r="AL52" s="274">
        <f t="shared" si="3"/>
        <v>0</v>
      </c>
      <c r="AM52" s="275">
        <f t="shared" si="7"/>
        <v>13513260.470000001</v>
      </c>
      <c r="AN52" s="276">
        <f t="shared" si="19"/>
        <v>13513260.470000001</v>
      </c>
      <c r="AO52" s="277">
        <f t="shared" si="0"/>
        <v>13513260.470000001</v>
      </c>
      <c r="AP52" s="331"/>
      <c r="AQ52" s="278">
        <f t="shared" si="5"/>
        <v>0</v>
      </c>
      <c r="AR52" s="331">
        <v>13513260.470000001</v>
      </c>
      <c r="AS52" s="281">
        <f t="shared" si="6"/>
        <v>0</v>
      </c>
    </row>
    <row r="53" spans="1:45" ht="15" customHeight="1" x14ac:dyDescent="0.25">
      <c r="A53" s="261">
        <v>50</v>
      </c>
      <c r="B53" s="5">
        <v>391720</v>
      </c>
      <c r="C53" s="6" t="s">
        <v>136</v>
      </c>
      <c r="D53" s="262"/>
      <c r="E53" s="263"/>
      <c r="F53" s="262"/>
      <c r="G53" s="262"/>
      <c r="H53" s="262"/>
      <c r="I53" s="262"/>
      <c r="J53" s="264"/>
      <c r="K53" s="262"/>
      <c r="L53" s="494">
        <v>0</v>
      </c>
      <c r="M53" s="495">
        <v>0</v>
      </c>
      <c r="N53" s="264"/>
      <c r="O53" s="262"/>
      <c r="P53" s="267">
        <v>0</v>
      </c>
      <c r="Q53" s="494">
        <v>0</v>
      </c>
      <c r="R53" s="495">
        <v>0</v>
      </c>
      <c r="S53" s="264"/>
      <c r="T53" s="262"/>
      <c r="U53" s="268">
        <v>0</v>
      </c>
      <c r="V53" s="269">
        <v>0</v>
      </c>
      <c r="W53" s="268"/>
      <c r="X53" s="269"/>
      <c r="Y53" s="268"/>
      <c r="Z53" s="269"/>
      <c r="AA53" s="268"/>
      <c r="AB53" s="523"/>
      <c r="AC53" s="524">
        <v>87</v>
      </c>
      <c r="AD53" s="271">
        <v>342194.11</v>
      </c>
      <c r="AE53" s="270">
        <v>2494</v>
      </c>
      <c r="AF53" s="271">
        <v>4614441.8499999996</v>
      </c>
      <c r="AG53" s="270">
        <v>0</v>
      </c>
      <c r="AH53" s="525">
        <v>0</v>
      </c>
      <c r="AI53" s="526">
        <f t="shared" si="20"/>
        <v>0</v>
      </c>
      <c r="AJ53" s="272">
        <f t="shared" si="21"/>
        <v>2494</v>
      </c>
      <c r="AK53" s="273">
        <f t="shared" si="3"/>
        <v>0</v>
      </c>
      <c r="AL53" s="274">
        <f t="shared" si="3"/>
        <v>0</v>
      </c>
      <c r="AM53" s="275">
        <f t="shared" si="7"/>
        <v>4956635.96</v>
      </c>
      <c r="AN53" s="276">
        <f t="shared" si="19"/>
        <v>4956635.96</v>
      </c>
      <c r="AO53" s="277">
        <f t="shared" si="0"/>
        <v>4956635.96</v>
      </c>
      <c r="AP53" s="331"/>
      <c r="AQ53" s="278">
        <f t="shared" si="5"/>
        <v>0</v>
      </c>
      <c r="AR53" s="331">
        <v>4956635.96</v>
      </c>
      <c r="AS53" s="281">
        <f t="shared" si="6"/>
        <v>0</v>
      </c>
    </row>
    <row r="54" spans="1:45" ht="15" customHeight="1" x14ac:dyDescent="0.25">
      <c r="A54" s="261">
        <v>51</v>
      </c>
      <c r="B54" s="5">
        <v>392390</v>
      </c>
      <c r="C54" s="6" t="s">
        <v>135</v>
      </c>
      <c r="D54" s="262"/>
      <c r="E54" s="263"/>
      <c r="F54" s="262"/>
      <c r="G54" s="262"/>
      <c r="H54" s="262"/>
      <c r="I54" s="262"/>
      <c r="J54" s="264"/>
      <c r="K54" s="262"/>
      <c r="L54" s="494">
        <v>0</v>
      </c>
      <c r="M54" s="495">
        <v>0</v>
      </c>
      <c r="N54" s="264"/>
      <c r="O54" s="262"/>
      <c r="P54" s="267">
        <v>0</v>
      </c>
      <c r="Q54" s="494">
        <v>0</v>
      </c>
      <c r="R54" s="495">
        <v>0</v>
      </c>
      <c r="S54" s="264"/>
      <c r="T54" s="262"/>
      <c r="U54" s="268">
        <v>0</v>
      </c>
      <c r="V54" s="269">
        <v>0</v>
      </c>
      <c r="W54" s="268"/>
      <c r="X54" s="269"/>
      <c r="Y54" s="268"/>
      <c r="Z54" s="269"/>
      <c r="AA54" s="268"/>
      <c r="AB54" s="523"/>
      <c r="AC54" s="524">
        <v>638</v>
      </c>
      <c r="AD54" s="271">
        <v>2097408.29</v>
      </c>
      <c r="AE54" s="270">
        <v>9464</v>
      </c>
      <c r="AF54" s="271">
        <v>16490566.09</v>
      </c>
      <c r="AG54" s="270">
        <v>101</v>
      </c>
      <c r="AH54" s="525">
        <v>92978.240000000005</v>
      </c>
      <c r="AI54" s="526">
        <f t="shared" si="20"/>
        <v>0</v>
      </c>
      <c r="AJ54" s="272">
        <f t="shared" si="21"/>
        <v>9565</v>
      </c>
      <c r="AK54" s="273">
        <f t="shared" si="3"/>
        <v>0</v>
      </c>
      <c r="AL54" s="274">
        <f t="shared" si="3"/>
        <v>0</v>
      </c>
      <c r="AM54" s="275">
        <f t="shared" si="7"/>
        <v>18680952.619999997</v>
      </c>
      <c r="AN54" s="276">
        <f t="shared" si="19"/>
        <v>18680952.619999997</v>
      </c>
      <c r="AO54" s="277">
        <f t="shared" si="0"/>
        <v>18680952.619999997</v>
      </c>
      <c r="AP54" s="331"/>
      <c r="AQ54" s="278">
        <f t="shared" si="5"/>
        <v>0</v>
      </c>
      <c r="AR54" s="331">
        <v>18680952.619999997</v>
      </c>
      <c r="AS54" s="281">
        <f t="shared" si="6"/>
        <v>0</v>
      </c>
    </row>
    <row r="55" spans="1:45" ht="15" customHeight="1" x14ac:dyDescent="0.25">
      <c r="A55" s="261">
        <v>52</v>
      </c>
      <c r="B55" s="5">
        <v>392310</v>
      </c>
      <c r="C55" s="6" t="s">
        <v>134</v>
      </c>
      <c r="D55" s="262"/>
      <c r="E55" s="263"/>
      <c r="F55" s="262"/>
      <c r="G55" s="262"/>
      <c r="H55" s="262"/>
      <c r="I55" s="262"/>
      <c r="J55" s="264"/>
      <c r="K55" s="262"/>
      <c r="L55" s="494">
        <v>0</v>
      </c>
      <c r="M55" s="495">
        <v>0</v>
      </c>
      <c r="N55" s="264"/>
      <c r="O55" s="262"/>
      <c r="P55" s="267">
        <v>0</v>
      </c>
      <c r="Q55" s="494">
        <v>0</v>
      </c>
      <c r="R55" s="495">
        <v>0</v>
      </c>
      <c r="S55" s="264"/>
      <c r="T55" s="262"/>
      <c r="U55" s="268">
        <v>0</v>
      </c>
      <c r="V55" s="269">
        <v>0</v>
      </c>
      <c r="W55" s="268"/>
      <c r="X55" s="269"/>
      <c r="Y55" s="268"/>
      <c r="Z55" s="269"/>
      <c r="AA55" s="268"/>
      <c r="AB55" s="523"/>
      <c r="AC55" s="524">
        <v>0</v>
      </c>
      <c r="AD55" s="271">
        <v>0</v>
      </c>
      <c r="AE55" s="270">
        <v>2695</v>
      </c>
      <c r="AF55" s="271">
        <v>5467047.0700000003</v>
      </c>
      <c r="AG55" s="270">
        <v>0</v>
      </c>
      <c r="AH55" s="525">
        <v>0</v>
      </c>
      <c r="AI55" s="526">
        <f t="shared" si="20"/>
        <v>0</v>
      </c>
      <c r="AJ55" s="272">
        <f t="shared" si="21"/>
        <v>2695</v>
      </c>
      <c r="AK55" s="273">
        <f t="shared" si="3"/>
        <v>0</v>
      </c>
      <c r="AL55" s="274">
        <f t="shared" si="3"/>
        <v>0</v>
      </c>
      <c r="AM55" s="275">
        <f t="shared" si="7"/>
        <v>5467047.0700000003</v>
      </c>
      <c r="AN55" s="276">
        <f t="shared" si="19"/>
        <v>5467047.0700000003</v>
      </c>
      <c r="AO55" s="277">
        <f t="shared" si="0"/>
        <v>5467047.0700000003</v>
      </c>
      <c r="AP55" s="331"/>
      <c r="AQ55" s="278">
        <f t="shared" si="5"/>
        <v>0</v>
      </c>
      <c r="AR55" s="331">
        <v>5467047.0700000003</v>
      </c>
      <c r="AS55" s="281">
        <f t="shared" si="6"/>
        <v>0</v>
      </c>
    </row>
    <row r="56" spans="1:45" ht="15" customHeight="1" x14ac:dyDescent="0.25">
      <c r="A56" s="261">
        <v>53</v>
      </c>
      <c r="B56" s="5">
        <v>391330</v>
      </c>
      <c r="C56" s="6" t="s">
        <v>133</v>
      </c>
      <c r="D56" s="262"/>
      <c r="E56" s="263"/>
      <c r="F56" s="262"/>
      <c r="G56" s="262"/>
      <c r="H56" s="262"/>
      <c r="I56" s="262"/>
      <c r="J56" s="264"/>
      <c r="K56" s="262"/>
      <c r="L56" s="494">
        <v>0</v>
      </c>
      <c r="M56" s="495">
        <v>0</v>
      </c>
      <c r="N56" s="264"/>
      <c r="O56" s="262"/>
      <c r="P56" s="267">
        <v>0</v>
      </c>
      <c r="Q56" s="494">
        <v>0</v>
      </c>
      <c r="R56" s="495">
        <v>0</v>
      </c>
      <c r="S56" s="264"/>
      <c r="T56" s="262"/>
      <c r="U56" s="268">
        <v>0</v>
      </c>
      <c r="V56" s="269">
        <v>0</v>
      </c>
      <c r="W56" s="268"/>
      <c r="X56" s="269"/>
      <c r="Y56" s="268"/>
      <c r="Z56" s="269"/>
      <c r="AA56" s="268"/>
      <c r="AB56" s="523"/>
      <c r="AC56" s="524">
        <v>173</v>
      </c>
      <c r="AD56" s="271">
        <v>622667.41</v>
      </c>
      <c r="AE56" s="270">
        <v>2224</v>
      </c>
      <c r="AF56" s="271">
        <v>2829703.91</v>
      </c>
      <c r="AG56" s="270">
        <v>0</v>
      </c>
      <c r="AH56" s="525">
        <v>0</v>
      </c>
      <c r="AI56" s="526">
        <f t="shared" si="20"/>
        <v>0</v>
      </c>
      <c r="AJ56" s="272">
        <f t="shared" si="21"/>
        <v>2224</v>
      </c>
      <c r="AK56" s="273">
        <f t="shared" si="3"/>
        <v>0</v>
      </c>
      <c r="AL56" s="274">
        <f t="shared" si="3"/>
        <v>0</v>
      </c>
      <c r="AM56" s="275">
        <f t="shared" si="7"/>
        <v>3452371.3200000003</v>
      </c>
      <c r="AN56" s="276">
        <f t="shared" si="19"/>
        <v>3452371.3200000003</v>
      </c>
      <c r="AO56" s="277">
        <f t="shared" si="0"/>
        <v>3452371.3200000003</v>
      </c>
      <c r="AP56" s="331"/>
      <c r="AQ56" s="278">
        <f t="shared" si="5"/>
        <v>0</v>
      </c>
      <c r="AR56" s="331">
        <v>3452371.3200000003</v>
      </c>
      <c r="AS56" s="281">
        <f t="shared" si="6"/>
        <v>0</v>
      </c>
    </row>
    <row r="57" spans="1:45" ht="15" customHeight="1" x14ac:dyDescent="0.25">
      <c r="A57" s="261">
        <v>54</v>
      </c>
      <c r="B57" s="5">
        <v>392330</v>
      </c>
      <c r="C57" s="6" t="s">
        <v>132</v>
      </c>
      <c r="D57" s="262"/>
      <c r="E57" s="263"/>
      <c r="F57" s="262"/>
      <c r="G57" s="262"/>
      <c r="H57" s="262"/>
      <c r="I57" s="262"/>
      <c r="J57" s="264"/>
      <c r="K57" s="262"/>
      <c r="L57" s="494">
        <v>0</v>
      </c>
      <c r="M57" s="495">
        <v>0</v>
      </c>
      <c r="N57" s="264"/>
      <c r="O57" s="262"/>
      <c r="P57" s="267">
        <v>0</v>
      </c>
      <c r="Q57" s="494">
        <v>0</v>
      </c>
      <c r="R57" s="495">
        <v>0</v>
      </c>
      <c r="S57" s="264"/>
      <c r="T57" s="262"/>
      <c r="U57" s="268">
        <v>0</v>
      </c>
      <c r="V57" s="269">
        <v>0</v>
      </c>
      <c r="W57" s="268"/>
      <c r="X57" s="269"/>
      <c r="Y57" s="268"/>
      <c r="Z57" s="269"/>
      <c r="AA57" s="268"/>
      <c r="AB57" s="523"/>
      <c r="AC57" s="524">
        <v>9</v>
      </c>
      <c r="AD57" s="271">
        <v>40877.08</v>
      </c>
      <c r="AE57" s="270">
        <v>1875</v>
      </c>
      <c r="AF57" s="271">
        <v>3835404.7</v>
      </c>
      <c r="AG57" s="270">
        <v>0</v>
      </c>
      <c r="AH57" s="525">
        <v>0</v>
      </c>
      <c r="AI57" s="526">
        <f t="shared" si="20"/>
        <v>0</v>
      </c>
      <c r="AJ57" s="272">
        <f t="shared" si="21"/>
        <v>1875</v>
      </c>
      <c r="AK57" s="273">
        <f t="shared" si="3"/>
        <v>0</v>
      </c>
      <c r="AL57" s="274">
        <f t="shared" si="3"/>
        <v>0</v>
      </c>
      <c r="AM57" s="275">
        <f t="shared" si="7"/>
        <v>3876281.7800000003</v>
      </c>
      <c r="AN57" s="276">
        <f t="shared" si="19"/>
        <v>3876281.7800000003</v>
      </c>
      <c r="AO57" s="277">
        <f t="shared" si="0"/>
        <v>3876281.7800000003</v>
      </c>
      <c r="AP57" s="331"/>
      <c r="AQ57" s="278">
        <f t="shared" si="5"/>
        <v>7.2759576141834259E-11</v>
      </c>
      <c r="AR57" s="331">
        <v>3876281.7800000003</v>
      </c>
      <c r="AS57" s="281">
        <f t="shared" si="6"/>
        <v>0</v>
      </c>
    </row>
    <row r="58" spans="1:45" ht="15" customHeight="1" x14ac:dyDescent="0.25">
      <c r="A58" s="261">
        <v>55</v>
      </c>
      <c r="B58" s="5">
        <v>392350</v>
      </c>
      <c r="C58" s="6" t="s">
        <v>131</v>
      </c>
      <c r="D58" s="262"/>
      <c r="E58" s="263"/>
      <c r="F58" s="262"/>
      <c r="G58" s="262"/>
      <c r="H58" s="262"/>
      <c r="I58" s="262"/>
      <c r="J58" s="264"/>
      <c r="K58" s="262"/>
      <c r="L58" s="494">
        <v>0</v>
      </c>
      <c r="M58" s="495">
        <v>0</v>
      </c>
      <c r="N58" s="264"/>
      <c r="O58" s="262"/>
      <c r="P58" s="267">
        <v>0</v>
      </c>
      <c r="Q58" s="494">
        <v>0</v>
      </c>
      <c r="R58" s="495">
        <v>0</v>
      </c>
      <c r="S58" s="264"/>
      <c r="T58" s="262"/>
      <c r="U58" s="268">
        <v>0</v>
      </c>
      <c r="V58" s="269">
        <v>0</v>
      </c>
      <c r="W58" s="268"/>
      <c r="X58" s="269"/>
      <c r="Y58" s="268"/>
      <c r="Z58" s="269"/>
      <c r="AA58" s="268"/>
      <c r="AB58" s="523"/>
      <c r="AC58" s="524">
        <v>75</v>
      </c>
      <c r="AD58" s="271">
        <v>335861.89</v>
      </c>
      <c r="AE58" s="270">
        <v>303</v>
      </c>
      <c r="AF58" s="271">
        <v>614672.11</v>
      </c>
      <c r="AG58" s="270">
        <v>0</v>
      </c>
      <c r="AH58" s="525">
        <v>0</v>
      </c>
      <c r="AI58" s="526">
        <f t="shared" si="20"/>
        <v>0</v>
      </c>
      <c r="AJ58" s="272">
        <f t="shared" si="21"/>
        <v>303</v>
      </c>
      <c r="AK58" s="273">
        <f t="shared" si="3"/>
        <v>0</v>
      </c>
      <c r="AL58" s="274">
        <f t="shared" si="3"/>
        <v>0</v>
      </c>
      <c r="AM58" s="275">
        <f t="shared" si="7"/>
        <v>950534</v>
      </c>
      <c r="AN58" s="276">
        <f t="shared" si="19"/>
        <v>950534</v>
      </c>
      <c r="AO58" s="277">
        <f t="shared" si="0"/>
        <v>950534</v>
      </c>
      <c r="AP58" s="331"/>
      <c r="AQ58" s="278">
        <f t="shared" si="5"/>
        <v>0</v>
      </c>
      <c r="AR58" s="331">
        <v>950534</v>
      </c>
      <c r="AS58" s="281">
        <f t="shared" si="6"/>
        <v>0</v>
      </c>
    </row>
    <row r="59" spans="1:45" ht="15" customHeight="1" x14ac:dyDescent="0.25">
      <c r="A59" s="261">
        <v>56</v>
      </c>
      <c r="B59" s="5">
        <v>392380</v>
      </c>
      <c r="C59" s="6" t="s">
        <v>130</v>
      </c>
      <c r="D59" s="262"/>
      <c r="E59" s="263"/>
      <c r="F59" s="262"/>
      <c r="G59" s="262"/>
      <c r="H59" s="262"/>
      <c r="I59" s="262"/>
      <c r="J59" s="264"/>
      <c r="K59" s="262"/>
      <c r="L59" s="494">
        <v>0</v>
      </c>
      <c r="M59" s="495">
        <v>0</v>
      </c>
      <c r="N59" s="264"/>
      <c r="O59" s="262"/>
      <c r="P59" s="267">
        <v>0</v>
      </c>
      <c r="Q59" s="494">
        <v>0</v>
      </c>
      <c r="R59" s="495">
        <v>0</v>
      </c>
      <c r="S59" s="264"/>
      <c r="T59" s="262"/>
      <c r="U59" s="268">
        <v>0</v>
      </c>
      <c r="V59" s="269">
        <v>0</v>
      </c>
      <c r="W59" s="268"/>
      <c r="X59" s="269"/>
      <c r="Y59" s="268"/>
      <c r="Z59" s="269"/>
      <c r="AA59" s="268"/>
      <c r="AB59" s="523"/>
      <c r="AC59" s="524">
        <v>158</v>
      </c>
      <c r="AD59" s="271">
        <v>741558.58</v>
      </c>
      <c r="AE59" s="270">
        <v>1656</v>
      </c>
      <c r="AF59" s="271">
        <v>2310411.14</v>
      </c>
      <c r="AG59" s="270">
        <v>0</v>
      </c>
      <c r="AH59" s="525">
        <v>0</v>
      </c>
      <c r="AI59" s="526">
        <f t="shared" si="20"/>
        <v>0</v>
      </c>
      <c r="AJ59" s="272">
        <f t="shared" si="21"/>
        <v>1656</v>
      </c>
      <c r="AK59" s="273">
        <f t="shared" si="3"/>
        <v>0</v>
      </c>
      <c r="AL59" s="274">
        <f t="shared" si="3"/>
        <v>0</v>
      </c>
      <c r="AM59" s="275">
        <f t="shared" si="7"/>
        <v>3051969.72</v>
      </c>
      <c r="AN59" s="276">
        <f t="shared" si="19"/>
        <v>3051969.72</v>
      </c>
      <c r="AO59" s="277">
        <f t="shared" si="0"/>
        <v>3051969.72</v>
      </c>
      <c r="AP59" s="331"/>
      <c r="AQ59" s="278">
        <f t="shared" si="5"/>
        <v>0</v>
      </c>
      <c r="AR59" s="331">
        <v>3051969.72</v>
      </c>
      <c r="AS59" s="281">
        <f t="shared" si="6"/>
        <v>0</v>
      </c>
    </row>
    <row r="60" spans="1:45" ht="15" customHeight="1" x14ac:dyDescent="0.25">
      <c r="A60" s="261">
        <v>57</v>
      </c>
      <c r="B60" s="5">
        <v>392610</v>
      </c>
      <c r="C60" s="6" t="s">
        <v>129</v>
      </c>
      <c r="D60" s="262"/>
      <c r="E60" s="263"/>
      <c r="F60" s="262"/>
      <c r="G60" s="262"/>
      <c r="H60" s="262"/>
      <c r="I60" s="262"/>
      <c r="J60" s="264"/>
      <c r="K60" s="262"/>
      <c r="L60" s="494">
        <v>0</v>
      </c>
      <c r="M60" s="495">
        <v>0</v>
      </c>
      <c r="N60" s="264"/>
      <c r="O60" s="262"/>
      <c r="P60" s="267">
        <v>0</v>
      </c>
      <c r="Q60" s="494">
        <v>0</v>
      </c>
      <c r="R60" s="495">
        <v>0</v>
      </c>
      <c r="S60" s="264"/>
      <c r="T60" s="262"/>
      <c r="U60" s="268">
        <v>0</v>
      </c>
      <c r="V60" s="269">
        <v>0</v>
      </c>
      <c r="W60" s="268"/>
      <c r="X60" s="269"/>
      <c r="Y60" s="268"/>
      <c r="Z60" s="269"/>
      <c r="AA60" s="268"/>
      <c r="AB60" s="523"/>
      <c r="AC60" s="524">
        <v>62</v>
      </c>
      <c r="AD60" s="271">
        <v>281018.63</v>
      </c>
      <c r="AE60" s="270">
        <v>52</v>
      </c>
      <c r="AF60" s="271">
        <v>95292.12</v>
      </c>
      <c r="AG60" s="270">
        <v>0</v>
      </c>
      <c r="AH60" s="525">
        <v>0</v>
      </c>
      <c r="AI60" s="526">
        <f t="shared" si="20"/>
        <v>0</v>
      </c>
      <c r="AJ60" s="272">
        <f t="shared" si="21"/>
        <v>52</v>
      </c>
      <c r="AK60" s="273">
        <f t="shared" si="3"/>
        <v>0</v>
      </c>
      <c r="AL60" s="274">
        <f t="shared" si="3"/>
        <v>0</v>
      </c>
      <c r="AM60" s="275">
        <f t="shared" si="7"/>
        <v>376310.75</v>
      </c>
      <c r="AN60" s="276">
        <f t="shared" si="19"/>
        <v>376310.75</v>
      </c>
      <c r="AO60" s="277">
        <f t="shared" si="0"/>
        <v>376310.75</v>
      </c>
      <c r="AP60" s="331"/>
      <c r="AQ60" s="278">
        <f t="shared" si="5"/>
        <v>0</v>
      </c>
      <c r="AR60" s="331">
        <v>376310.75</v>
      </c>
      <c r="AS60" s="281">
        <f t="shared" si="6"/>
        <v>0</v>
      </c>
    </row>
    <row r="61" spans="1:45" ht="15" customHeight="1" x14ac:dyDescent="0.25">
      <c r="A61" s="261">
        <v>58</v>
      </c>
      <c r="B61" s="5">
        <v>392620</v>
      </c>
      <c r="C61" s="6" t="s">
        <v>128</v>
      </c>
      <c r="D61" s="262"/>
      <c r="E61" s="263"/>
      <c r="F61" s="262"/>
      <c r="G61" s="262"/>
      <c r="H61" s="262"/>
      <c r="I61" s="262"/>
      <c r="J61" s="264"/>
      <c r="K61" s="262"/>
      <c r="L61" s="494">
        <v>0</v>
      </c>
      <c r="M61" s="495">
        <v>0</v>
      </c>
      <c r="N61" s="264"/>
      <c r="O61" s="262"/>
      <c r="P61" s="267">
        <v>0</v>
      </c>
      <c r="Q61" s="494">
        <v>0</v>
      </c>
      <c r="R61" s="495">
        <v>0</v>
      </c>
      <c r="S61" s="264"/>
      <c r="T61" s="262"/>
      <c r="U61" s="268">
        <v>0</v>
      </c>
      <c r="V61" s="269">
        <v>0</v>
      </c>
      <c r="W61" s="268"/>
      <c r="X61" s="269"/>
      <c r="Y61" s="268"/>
      <c r="Z61" s="269"/>
      <c r="AA61" s="268"/>
      <c r="AB61" s="523"/>
      <c r="AC61" s="524">
        <v>31</v>
      </c>
      <c r="AD61" s="271">
        <v>148065</v>
      </c>
      <c r="AE61" s="270">
        <v>260</v>
      </c>
      <c r="AF61" s="271">
        <v>365351.4</v>
      </c>
      <c r="AG61" s="270">
        <v>0</v>
      </c>
      <c r="AH61" s="525">
        <v>0</v>
      </c>
      <c r="AI61" s="526">
        <f t="shared" si="20"/>
        <v>0</v>
      </c>
      <c r="AJ61" s="272">
        <f t="shared" si="21"/>
        <v>260</v>
      </c>
      <c r="AK61" s="273">
        <f t="shared" si="3"/>
        <v>0</v>
      </c>
      <c r="AL61" s="274">
        <f t="shared" si="3"/>
        <v>0</v>
      </c>
      <c r="AM61" s="275">
        <f t="shared" si="7"/>
        <v>513416.4</v>
      </c>
      <c r="AN61" s="276">
        <f t="shared" si="19"/>
        <v>513416.4</v>
      </c>
      <c r="AO61" s="277">
        <f t="shared" si="0"/>
        <v>513416.4</v>
      </c>
      <c r="AP61" s="331"/>
      <c r="AQ61" s="278">
        <f t="shared" si="5"/>
        <v>0</v>
      </c>
      <c r="AR61" s="331">
        <v>513416.4</v>
      </c>
      <c r="AS61" s="281">
        <f t="shared" si="6"/>
        <v>0</v>
      </c>
    </row>
    <row r="62" spans="1:45" ht="15" customHeight="1" x14ac:dyDescent="0.25">
      <c r="A62" s="261">
        <v>59</v>
      </c>
      <c r="B62" s="437">
        <v>390009</v>
      </c>
      <c r="C62" s="6" t="s">
        <v>209</v>
      </c>
      <c r="D62" s="262"/>
      <c r="E62" s="263"/>
      <c r="F62" s="262"/>
      <c r="G62" s="262"/>
      <c r="H62" s="262"/>
      <c r="I62" s="262"/>
      <c r="J62" s="264"/>
      <c r="K62" s="262"/>
      <c r="L62" s="494">
        <v>0</v>
      </c>
      <c r="M62" s="495">
        <v>0</v>
      </c>
      <c r="N62" s="264"/>
      <c r="O62" s="262"/>
      <c r="P62" s="267">
        <v>0</v>
      </c>
      <c r="Q62" s="494">
        <v>0</v>
      </c>
      <c r="R62" s="495">
        <v>0</v>
      </c>
      <c r="S62" s="264"/>
      <c r="T62" s="262"/>
      <c r="U62" s="268">
        <v>0</v>
      </c>
      <c r="V62" s="269">
        <v>0</v>
      </c>
      <c r="W62" s="268"/>
      <c r="X62" s="269"/>
      <c r="Y62" s="268"/>
      <c r="Z62" s="269"/>
      <c r="AA62" s="268"/>
      <c r="AB62" s="523"/>
      <c r="AC62" s="524">
        <v>0</v>
      </c>
      <c r="AD62" s="271">
        <v>0</v>
      </c>
      <c r="AE62" s="270">
        <v>178</v>
      </c>
      <c r="AF62" s="271">
        <v>375868.36</v>
      </c>
      <c r="AG62" s="270">
        <v>0</v>
      </c>
      <c r="AH62" s="525">
        <v>0</v>
      </c>
      <c r="AI62" s="526">
        <f t="shared" si="20"/>
        <v>0</v>
      </c>
      <c r="AJ62" s="272">
        <f t="shared" si="21"/>
        <v>178</v>
      </c>
      <c r="AK62" s="273">
        <f t="shared" si="3"/>
        <v>0</v>
      </c>
      <c r="AL62" s="274">
        <f t="shared" si="3"/>
        <v>0</v>
      </c>
      <c r="AM62" s="275">
        <f t="shared" si="7"/>
        <v>375868.36</v>
      </c>
      <c r="AN62" s="276">
        <f t="shared" si="19"/>
        <v>375868.36</v>
      </c>
      <c r="AO62" s="277">
        <f t="shared" si="0"/>
        <v>375868.36</v>
      </c>
      <c r="AP62" s="331"/>
      <c r="AQ62" s="278">
        <f t="shared" si="5"/>
        <v>0</v>
      </c>
      <c r="AR62" s="331">
        <v>375868.36</v>
      </c>
      <c r="AS62" s="281">
        <f t="shared" si="6"/>
        <v>0</v>
      </c>
    </row>
    <row r="63" spans="1:45" ht="15" customHeight="1" x14ac:dyDescent="0.25">
      <c r="A63" s="261">
        <v>60</v>
      </c>
      <c r="B63" s="437">
        <v>390011</v>
      </c>
      <c r="C63" s="67" t="s">
        <v>266</v>
      </c>
      <c r="D63" s="262"/>
      <c r="E63" s="263"/>
      <c r="F63" s="262"/>
      <c r="G63" s="262"/>
      <c r="H63" s="262"/>
      <c r="I63" s="262"/>
      <c r="J63" s="264"/>
      <c r="K63" s="262"/>
      <c r="L63" s="494">
        <v>0</v>
      </c>
      <c r="M63" s="495">
        <v>0</v>
      </c>
      <c r="N63" s="264"/>
      <c r="O63" s="262"/>
      <c r="P63" s="267">
        <v>0</v>
      </c>
      <c r="Q63" s="494">
        <v>0</v>
      </c>
      <c r="R63" s="495">
        <v>0</v>
      </c>
      <c r="S63" s="264"/>
      <c r="T63" s="262"/>
      <c r="U63" s="268">
        <v>0</v>
      </c>
      <c r="V63" s="269">
        <v>0</v>
      </c>
      <c r="W63" s="268"/>
      <c r="X63" s="269"/>
      <c r="Y63" s="268"/>
      <c r="Z63" s="269"/>
      <c r="AA63" s="268"/>
      <c r="AB63" s="523"/>
      <c r="AC63" s="524">
        <v>0</v>
      </c>
      <c r="AD63" s="271">
        <v>0</v>
      </c>
      <c r="AE63" s="270">
        <v>201</v>
      </c>
      <c r="AF63" s="271">
        <v>373918.63</v>
      </c>
      <c r="AG63" s="270">
        <v>0</v>
      </c>
      <c r="AH63" s="525">
        <v>0</v>
      </c>
      <c r="AI63" s="526">
        <f t="shared" si="20"/>
        <v>0</v>
      </c>
      <c r="AJ63" s="272">
        <f t="shared" si="21"/>
        <v>201</v>
      </c>
      <c r="AK63" s="273">
        <f t="shared" si="3"/>
        <v>0</v>
      </c>
      <c r="AL63" s="274">
        <f t="shared" si="3"/>
        <v>0</v>
      </c>
      <c r="AM63" s="275">
        <f t="shared" si="7"/>
        <v>373918.63</v>
      </c>
      <c r="AN63" s="276">
        <f t="shared" si="19"/>
        <v>373918.63</v>
      </c>
      <c r="AO63" s="277">
        <f t="shared" si="0"/>
        <v>373918.63</v>
      </c>
      <c r="AP63" s="331"/>
      <c r="AQ63" s="278">
        <f t="shared" si="5"/>
        <v>0</v>
      </c>
      <c r="AR63" s="331">
        <v>373918.63</v>
      </c>
      <c r="AS63" s="281">
        <f t="shared" si="6"/>
        <v>0</v>
      </c>
    </row>
    <row r="64" spans="1:45" s="289" customFormat="1" ht="15" customHeight="1" x14ac:dyDescent="0.25">
      <c r="A64" s="261">
        <v>61</v>
      </c>
      <c r="B64" s="216">
        <v>390782</v>
      </c>
      <c r="C64" s="160" t="s">
        <v>193</v>
      </c>
      <c r="D64" s="287"/>
      <c r="E64" s="287"/>
      <c r="F64" s="262"/>
      <c r="G64" s="262"/>
      <c r="H64" s="262"/>
      <c r="I64" s="287"/>
      <c r="J64" s="288"/>
      <c r="K64" s="287"/>
      <c r="L64" s="494">
        <v>0</v>
      </c>
      <c r="M64" s="495">
        <v>0</v>
      </c>
      <c r="N64" s="288">
        <v>842</v>
      </c>
      <c r="O64" s="287">
        <v>71400021.280000001</v>
      </c>
      <c r="P64" s="267">
        <v>0</v>
      </c>
      <c r="Q64" s="494">
        <v>0</v>
      </c>
      <c r="R64" s="495">
        <v>0</v>
      </c>
      <c r="S64" s="288"/>
      <c r="T64" s="287"/>
      <c r="U64" s="268">
        <v>0</v>
      </c>
      <c r="V64" s="269">
        <v>0</v>
      </c>
      <c r="W64" s="268"/>
      <c r="X64" s="269"/>
      <c r="Y64" s="268"/>
      <c r="Z64" s="269"/>
      <c r="AA64" s="268"/>
      <c r="AB64" s="523"/>
      <c r="AC64" s="524">
        <v>0</v>
      </c>
      <c r="AD64" s="271">
        <v>0</v>
      </c>
      <c r="AE64" s="270">
        <v>0</v>
      </c>
      <c r="AF64" s="271">
        <v>0</v>
      </c>
      <c r="AG64" s="270">
        <v>0</v>
      </c>
      <c r="AH64" s="525">
        <v>0</v>
      </c>
      <c r="AI64" s="526">
        <f t="shared" si="20"/>
        <v>842</v>
      </c>
      <c r="AJ64" s="272">
        <f t="shared" si="21"/>
        <v>0</v>
      </c>
      <c r="AK64" s="273">
        <f t="shared" si="3"/>
        <v>0</v>
      </c>
      <c r="AL64" s="274">
        <f t="shared" si="3"/>
        <v>0</v>
      </c>
      <c r="AM64" s="275">
        <f t="shared" si="7"/>
        <v>71400021.280000001</v>
      </c>
      <c r="AN64" s="276">
        <f t="shared" si="19"/>
        <v>71400021.280000001</v>
      </c>
      <c r="AO64" s="277">
        <f t="shared" si="0"/>
        <v>71400021.280000001</v>
      </c>
      <c r="AP64" s="331"/>
      <c r="AQ64" s="278">
        <f t="shared" si="5"/>
        <v>71400021.280000001</v>
      </c>
      <c r="AR64" s="331">
        <v>71400021.280000001</v>
      </c>
      <c r="AS64" s="281">
        <f t="shared" si="6"/>
        <v>0</v>
      </c>
    </row>
    <row r="65" spans="1:45" s="289" customFormat="1" ht="15" customHeight="1" x14ac:dyDescent="0.25">
      <c r="A65" s="261">
        <v>62</v>
      </c>
      <c r="B65" s="216">
        <v>392080</v>
      </c>
      <c r="C65" s="160" t="s">
        <v>194</v>
      </c>
      <c r="D65" s="287"/>
      <c r="E65" s="287"/>
      <c r="F65" s="262"/>
      <c r="G65" s="262"/>
      <c r="H65" s="262"/>
      <c r="I65" s="287"/>
      <c r="J65" s="288"/>
      <c r="K65" s="287"/>
      <c r="L65" s="494">
        <v>0</v>
      </c>
      <c r="M65" s="495">
        <v>0</v>
      </c>
      <c r="N65" s="288">
        <v>487</v>
      </c>
      <c r="O65" s="287">
        <v>48241745.949999996</v>
      </c>
      <c r="P65" s="267">
        <v>0</v>
      </c>
      <c r="Q65" s="494">
        <v>0</v>
      </c>
      <c r="R65" s="495">
        <v>0</v>
      </c>
      <c r="S65" s="288"/>
      <c r="T65" s="287"/>
      <c r="U65" s="268">
        <v>0</v>
      </c>
      <c r="V65" s="269">
        <v>0</v>
      </c>
      <c r="W65" s="268"/>
      <c r="X65" s="269"/>
      <c r="Y65" s="268"/>
      <c r="Z65" s="269"/>
      <c r="AA65" s="268"/>
      <c r="AB65" s="523"/>
      <c r="AC65" s="524">
        <v>0</v>
      </c>
      <c r="AD65" s="271">
        <v>0</v>
      </c>
      <c r="AE65" s="270">
        <v>0</v>
      </c>
      <c r="AF65" s="271">
        <v>0</v>
      </c>
      <c r="AG65" s="270">
        <v>0</v>
      </c>
      <c r="AH65" s="525">
        <v>0</v>
      </c>
      <c r="AI65" s="526">
        <f t="shared" si="20"/>
        <v>487</v>
      </c>
      <c r="AJ65" s="272">
        <f t="shared" si="21"/>
        <v>0</v>
      </c>
      <c r="AK65" s="273">
        <f t="shared" si="3"/>
        <v>0</v>
      </c>
      <c r="AL65" s="274">
        <f t="shared" si="3"/>
        <v>0</v>
      </c>
      <c r="AM65" s="275">
        <f t="shared" si="7"/>
        <v>48241745.949999996</v>
      </c>
      <c r="AN65" s="276">
        <f t="shared" si="19"/>
        <v>48241745.949999996</v>
      </c>
      <c r="AO65" s="277">
        <f t="shared" si="0"/>
        <v>48241745.949999996</v>
      </c>
      <c r="AP65" s="331"/>
      <c r="AQ65" s="278">
        <f t="shared" si="5"/>
        <v>48241745.949999996</v>
      </c>
      <c r="AR65" s="331">
        <v>48241745.949999996</v>
      </c>
      <c r="AS65" s="281">
        <f t="shared" si="6"/>
        <v>0</v>
      </c>
    </row>
    <row r="66" spans="1:45" s="289" customFormat="1" ht="15" customHeight="1" x14ac:dyDescent="0.25">
      <c r="A66" s="261">
        <v>63</v>
      </c>
      <c r="B66" s="216">
        <v>392160</v>
      </c>
      <c r="C66" s="160" t="s">
        <v>195</v>
      </c>
      <c r="D66" s="287"/>
      <c r="E66" s="287"/>
      <c r="F66" s="262"/>
      <c r="G66" s="262"/>
      <c r="H66" s="262"/>
      <c r="I66" s="287"/>
      <c r="J66" s="288"/>
      <c r="K66" s="287"/>
      <c r="L66" s="494">
        <v>0</v>
      </c>
      <c r="M66" s="495">
        <v>0</v>
      </c>
      <c r="N66" s="288">
        <v>2801</v>
      </c>
      <c r="O66" s="287">
        <v>252727514.64999998</v>
      </c>
      <c r="P66" s="267">
        <v>0</v>
      </c>
      <c r="Q66" s="494">
        <v>0</v>
      </c>
      <c r="R66" s="495">
        <v>0</v>
      </c>
      <c r="S66" s="288"/>
      <c r="T66" s="287"/>
      <c r="U66" s="268">
        <v>0</v>
      </c>
      <c r="V66" s="269">
        <v>0</v>
      </c>
      <c r="W66" s="268"/>
      <c r="X66" s="269"/>
      <c r="Y66" s="268"/>
      <c r="Z66" s="269"/>
      <c r="AA66" s="268"/>
      <c r="AB66" s="523"/>
      <c r="AC66" s="524">
        <v>0</v>
      </c>
      <c r="AD66" s="271">
        <v>0</v>
      </c>
      <c r="AE66" s="270">
        <v>0</v>
      </c>
      <c r="AF66" s="271">
        <v>0</v>
      </c>
      <c r="AG66" s="270">
        <v>0</v>
      </c>
      <c r="AH66" s="525">
        <v>0</v>
      </c>
      <c r="AI66" s="526">
        <f t="shared" si="20"/>
        <v>2801</v>
      </c>
      <c r="AJ66" s="272">
        <f t="shared" si="21"/>
        <v>0</v>
      </c>
      <c r="AK66" s="273">
        <f t="shared" si="3"/>
        <v>0</v>
      </c>
      <c r="AL66" s="274">
        <f t="shared" si="3"/>
        <v>0</v>
      </c>
      <c r="AM66" s="275">
        <f t="shared" si="7"/>
        <v>252727514.64999998</v>
      </c>
      <c r="AN66" s="276">
        <f t="shared" si="19"/>
        <v>252727514.64999998</v>
      </c>
      <c r="AO66" s="277">
        <f t="shared" si="0"/>
        <v>252727514.64999998</v>
      </c>
      <c r="AP66" s="331"/>
      <c r="AQ66" s="278">
        <f t="shared" si="5"/>
        <v>252727514.64999998</v>
      </c>
      <c r="AR66" s="331">
        <v>252727514.64999998</v>
      </c>
      <c r="AS66" s="281">
        <f t="shared" si="6"/>
        <v>0</v>
      </c>
    </row>
    <row r="67" spans="1:45" ht="15" customHeight="1" x14ac:dyDescent="0.25">
      <c r="A67" s="261">
        <v>64</v>
      </c>
      <c r="B67" s="5">
        <v>392400</v>
      </c>
      <c r="C67" s="6" t="s">
        <v>51</v>
      </c>
      <c r="D67" s="262"/>
      <c r="E67" s="263"/>
      <c r="F67" s="262"/>
      <c r="G67" s="262"/>
      <c r="H67" s="262"/>
      <c r="I67" s="262"/>
      <c r="J67" s="264"/>
      <c r="K67" s="262"/>
      <c r="L67" s="494">
        <v>0</v>
      </c>
      <c r="M67" s="495">
        <v>0</v>
      </c>
      <c r="N67" s="264"/>
      <c r="O67" s="262"/>
      <c r="P67" s="267">
        <v>0</v>
      </c>
      <c r="Q67" s="494">
        <v>0</v>
      </c>
      <c r="R67" s="495">
        <v>0</v>
      </c>
      <c r="S67" s="264"/>
      <c r="T67" s="262"/>
      <c r="U67" s="268">
        <v>0</v>
      </c>
      <c r="V67" s="269">
        <v>0</v>
      </c>
      <c r="W67" s="268"/>
      <c r="X67" s="269"/>
      <c r="Y67" s="268"/>
      <c r="Z67" s="269"/>
      <c r="AA67" s="268"/>
      <c r="AB67" s="523"/>
      <c r="AC67" s="524">
        <v>0</v>
      </c>
      <c r="AD67" s="271">
        <v>0</v>
      </c>
      <c r="AE67" s="270">
        <v>0</v>
      </c>
      <c r="AF67" s="271">
        <v>0</v>
      </c>
      <c r="AG67" s="270">
        <v>0</v>
      </c>
      <c r="AH67" s="525">
        <v>0</v>
      </c>
      <c r="AI67" s="526">
        <f t="shared" si="20"/>
        <v>0</v>
      </c>
      <c r="AJ67" s="272">
        <f t="shared" si="21"/>
        <v>0</v>
      </c>
      <c r="AK67" s="273">
        <f t="shared" si="3"/>
        <v>0</v>
      </c>
      <c r="AL67" s="274">
        <f t="shared" si="3"/>
        <v>0</v>
      </c>
      <c r="AM67" s="275">
        <f t="shared" si="7"/>
        <v>0</v>
      </c>
      <c r="AN67" s="276">
        <f t="shared" si="19"/>
        <v>0</v>
      </c>
      <c r="AO67" s="277">
        <f t="shared" si="0"/>
        <v>0</v>
      </c>
      <c r="AP67" s="331"/>
      <c r="AQ67" s="278">
        <f t="shared" si="5"/>
        <v>0</v>
      </c>
      <c r="AR67" s="331">
        <v>0</v>
      </c>
      <c r="AS67" s="281">
        <f t="shared" si="6"/>
        <v>0</v>
      </c>
    </row>
    <row r="68" spans="1:45" ht="15" customHeight="1" x14ac:dyDescent="0.25">
      <c r="A68" s="261">
        <v>65</v>
      </c>
      <c r="B68" s="5">
        <v>391492</v>
      </c>
      <c r="C68" s="6" t="s">
        <v>196</v>
      </c>
      <c r="D68" s="262"/>
      <c r="E68" s="263"/>
      <c r="F68" s="262"/>
      <c r="G68" s="262"/>
      <c r="H68" s="262"/>
      <c r="I68" s="262"/>
      <c r="J68" s="264"/>
      <c r="K68" s="262"/>
      <c r="L68" s="494">
        <v>0</v>
      </c>
      <c r="M68" s="495">
        <v>0</v>
      </c>
      <c r="N68" s="264"/>
      <c r="O68" s="262"/>
      <c r="P68" s="267">
        <v>0</v>
      </c>
      <c r="Q68" s="494">
        <v>0</v>
      </c>
      <c r="R68" s="495">
        <v>0</v>
      </c>
      <c r="S68" s="264"/>
      <c r="T68" s="262"/>
      <c r="U68" s="268">
        <v>0</v>
      </c>
      <c r="V68" s="269">
        <v>0</v>
      </c>
      <c r="W68" s="268"/>
      <c r="X68" s="269"/>
      <c r="Y68" s="268"/>
      <c r="Z68" s="269"/>
      <c r="AA68" s="268"/>
      <c r="AB68" s="523"/>
      <c r="AC68" s="524">
        <v>0</v>
      </c>
      <c r="AD68" s="271">
        <v>0</v>
      </c>
      <c r="AE68" s="270">
        <v>0</v>
      </c>
      <c r="AF68" s="271">
        <v>0</v>
      </c>
      <c r="AG68" s="270">
        <v>0</v>
      </c>
      <c r="AH68" s="525">
        <v>0</v>
      </c>
      <c r="AI68" s="526">
        <f t="shared" si="20"/>
        <v>0</v>
      </c>
      <c r="AJ68" s="272">
        <f t="shared" si="21"/>
        <v>0</v>
      </c>
      <c r="AK68" s="273">
        <f t="shared" si="3"/>
        <v>0</v>
      </c>
      <c r="AL68" s="274">
        <f t="shared" si="3"/>
        <v>0</v>
      </c>
      <c r="AM68" s="275">
        <f t="shared" si="7"/>
        <v>0</v>
      </c>
      <c r="AN68" s="276">
        <f t="shared" si="19"/>
        <v>0</v>
      </c>
      <c r="AO68" s="277">
        <f t="shared" si="0"/>
        <v>0</v>
      </c>
      <c r="AP68" s="331"/>
      <c r="AQ68" s="278">
        <f t="shared" si="5"/>
        <v>0</v>
      </c>
      <c r="AR68" s="331">
        <v>0</v>
      </c>
      <c r="AS68" s="281">
        <f t="shared" si="6"/>
        <v>0</v>
      </c>
    </row>
    <row r="69" spans="1:45" ht="15" customHeight="1" x14ac:dyDescent="0.25">
      <c r="A69" s="261">
        <v>66</v>
      </c>
      <c r="B69" s="5">
        <v>392320</v>
      </c>
      <c r="C69" s="6" t="s">
        <v>52</v>
      </c>
      <c r="D69" s="262"/>
      <c r="E69" s="263"/>
      <c r="F69" s="262"/>
      <c r="G69" s="262"/>
      <c r="H69" s="262"/>
      <c r="I69" s="262"/>
      <c r="J69" s="264"/>
      <c r="K69" s="262"/>
      <c r="L69" s="494">
        <v>674</v>
      </c>
      <c r="M69" s="495">
        <v>869304.98</v>
      </c>
      <c r="N69" s="264"/>
      <c r="O69" s="262"/>
      <c r="P69" s="267">
        <v>0</v>
      </c>
      <c r="Q69" s="494">
        <v>0</v>
      </c>
      <c r="R69" s="495"/>
      <c r="S69" s="264"/>
      <c r="T69" s="262"/>
      <c r="U69" s="268">
        <v>0</v>
      </c>
      <c r="V69" s="269">
        <v>0</v>
      </c>
      <c r="W69" s="268"/>
      <c r="X69" s="269"/>
      <c r="Y69" s="268"/>
      <c r="Z69" s="269"/>
      <c r="AA69" s="268"/>
      <c r="AB69" s="523"/>
      <c r="AC69" s="524">
        <v>0</v>
      </c>
      <c r="AD69" s="271">
        <v>0</v>
      </c>
      <c r="AE69" s="270">
        <v>0</v>
      </c>
      <c r="AF69" s="271">
        <v>0</v>
      </c>
      <c r="AG69" s="270">
        <v>0</v>
      </c>
      <c r="AH69" s="525">
        <v>0</v>
      </c>
      <c r="AI69" s="526">
        <f t="shared" si="20"/>
        <v>674</v>
      </c>
      <c r="AJ69" s="272">
        <f t="shared" si="21"/>
        <v>0</v>
      </c>
      <c r="AK69" s="273">
        <f t="shared" si="3"/>
        <v>0</v>
      </c>
      <c r="AL69" s="274">
        <f t="shared" si="3"/>
        <v>0</v>
      </c>
      <c r="AM69" s="275">
        <f t="shared" ref="AM69:AM87" si="22">R69+M69+O69+P69+T69+V69+X69+Z69+AB69+AD69+AF69+AH69</f>
        <v>869304.98</v>
      </c>
      <c r="AN69" s="276">
        <f t="shared" ref="AN69:AN87" si="23">D69+AM69</f>
        <v>869304.98</v>
      </c>
      <c r="AO69" s="277">
        <f t="shared" ref="AO69:AO87" si="24">AM69-P69</f>
        <v>869304.98</v>
      </c>
      <c r="AP69" s="331"/>
      <c r="AQ69" s="278">
        <f t="shared" si="5"/>
        <v>869304.98</v>
      </c>
      <c r="AR69" s="331">
        <v>869304.98000000359</v>
      </c>
      <c r="AS69" s="281">
        <f t="shared" ref="AS69:AS87" si="25">AR69-AN69</f>
        <v>3.6088749766349792E-9</v>
      </c>
    </row>
    <row r="70" spans="1:45" ht="15" customHeight="1" x14ac:dyDescent="0.25">
      <c r="A70" s="261">
        <v>67</v>
      </c>
      <c r="B70" s="5">
        <v>391310</v>
      </c>
      <c r="C70" s="6" t="s">
        <v>53</v>
      </c>
      <c r="D70" s="262"/>
      <c r="E70" s="263"/>
      <c r="F70" s="262"/>
      <c r="G70" s="262"/>
      <c r="H70" s="262"/>
      <c r="I70" s="262"/>
      <c r="J70" s="264"/>
      <c r="K70" s="262"/>
      <c r="L70" s="494">
        <v>0</v>
      </c>
      <c r="M70" s="495">
        <v>0</v>
      </c>
      <c r="N70" s="264"/>
      <c r="O70" s="262"/>
      <c r="P70" s="267">
        <v>0</v>
      </c>
      <c r="Q70" s="494">
        <v>1188</v>
      </c>
      <c r="R70" s="495">
        <v>392503.32000000228</v>
      </c>
      <c r="S70" s="264"/>
      <c r="T70" s="262"/>
      <c r="U70" s="268">
        <v>0</v>
      </c>
      <c r="V70" s="269">
        <v>0</v>
      </c>
      <c r="W70" s="268"/>
      <c r="X70" s="269"/>
      <c r="Y70" s="268"/>
      <c r="Z70" s="269"/>
      <c r="AA70" s="268"/>
      <c r="AB70" s="523"/>
      <c r="AC70" s="524">
        <v>0</v>
      </c>
      <c r="AD70" s="271">
        <v>0</v>
      </c>
      <c r="AE70" s="270">
        <v>0</v>
      </c>
      <c r="AF70" s="271">
        <v>0</v>
      </c>
      <c r="AG70" s="270">
        <v>0</v>
      </c>
      <c r="AH70" s="525">
        <v>0</v>
      </c>
      <c r="AI70" s="526">
        <f t="shared" si="20"/>
        <v>0</v>
      </c>
      <c r="AJ70" s="272">
        <f t="shared" si="21"/>
        <v>1188</v>
      </c>
      <c r="AK70" s="273">
        <f t="shared" ref="AK70:AL87" si="26">U70+Y70+AA70</f>
        <v>0</v>
      </c>
      <c r="AL70" s="274">
        <f t="shared" si="26"/>
        <v>0</v>
      </c>
      <c r="AM70" s="275">
        <f t="shared" si="22"/>
        <v>392503.32000000228</v>
      </c>
      <c r="AN70" s="276">
        <f t="shared" si="23"/>
        <v>392503.32000000228</v>
      </c>
      <c r="AO70" s="277">
        <f t="shared" si="24"/>
        <v>392503.32000000228</v>
      </c>
      <c r="AP70" s="331"/>
      <c r="AQ70" s="278">
        <f t="shared" ref="AQ70:AQ87" si="27">AN70-AH70-AF70-AD70</f>
        <v>392503.32000000228</v>
      </c>
      <c r="AR70" s="331">
        <v>392503.32000000228</v>
      </c>
      <c r="AS70" s="281">
        <f t="shared" si="25"/>
        <v>0</v>
      </c>
    </row>
    <row r="71" spans="1:45" ht="15" customHeight="1" x14ac:dyDescent="0.25">
      <c r="A71" s="261">
        <v>68</v>
      </c>
      <c r="B71" s="5">
        <v>391930</v>
      </c>
      <c r="C71" s="6" t="s">
        <v>198</v>
      </c>
      <c r="D71" s="262"/>
      <c r="E71" s="263"/>
      <c r="F71" s="262"/>
      <c r="G71" s="262"/>
      <c r="H71" s="262"/>
      <c r="I71" s="262"/>
      <c r="J71" s="264"/>
      <c r="K71" s="262"/>
      <c r="L71" s="494">
        <v>0</v>
      </c>
      <c r="M71" s="495">
        <v>0</v>
      </c>
      <c r="N71" s="264"/>
      <c r="O71" s="262"/>
      <c r="P71" s="267">
        <v>2996157.95</v>
      </c>
      <c r="Q71" s="494">
        <v>0</v>
      </c>
      <c r="R71" s="495">
        <v>0</v>
      </c>
      <c r="S71" s="264"/>
      <c r="T71" s="262"/>
      <c r="U71" s="268">
        <v>0</v>
      </c>
      <c r="V71" s="269">
        <v>0</v>
      </c>
      <c r="W71" s="268"/>
      <c r="X71" s="269"/>
      <c r="Y71" s="268"/>
      <c r="Z71" s="269"/>
      <c r="AA71" s="268"/>
      <c r="AB71" s="523"/>
      <c r="AC71" s="524">
        <v>0</v>
      </c>
      <c r="AD71" s="271">
        <v>0</v>
      </c>
      <c r="AE71" s="270">
        <v>0</v>
      </c>
      <c r="AF71" s="271">
        <v>0</v>
      </c>
      <c r="AG71" s="270">
        <v>0</v>
      </c>
      <c r="AH71" s="525">
        <v>0</v>
      </c>
      <c r="AI71" s="526">
        <f t="shared" si="20"/>
        <v>0</v>
      </c>
      <c r="AJ71" s="272">
        <f t="shared" si="21"/>
        <v>0</v>
      </c>
      <c r="AK71" s="273">
        <f t="shared" si="26"/>
        <v>0</v>
      </c>
      <c r="AL71" s="274">
        <f t="shared" si="26"/>
        <v>0</v>
      </c>
      <c r="AM71" s="275">
        <f t="shared" si="22"/>
        <v>2996157.95</v>
      </c>
      <c r="AN71" s="276">
        <f t="shared" si="23"/>
        <v>2996157.95</v>
      </c>
      <c r="AO71" s="277">
        <f t="shared" si="24"/>
        <v>0</v>
      </c>
      <c r="AP71" s="331"/>
      <c r="AQ71" s="278">
        <f t="shared" si="27"/>
        <v>2996157.95</v>
      </c>
      <c r="AR71" s="331">
        <v>2996157.95</v>
      </c>
      <c r="AS71" s="281">
        <f t="shared" si="25"/>
        <v>0</v>
      </c>
    </row>
    <row r="72" spans="1:45" ht="15" customHeight="1" x14ac:dyDescent="0.25">
      <c r="A72" s="261">
        <v>69</v>
      </c>
      <c r="B72" s="5">
        <v>392630</v>
      </c>
      <c r="C72" s="6" t="s">
        <v>199</v>
      </c>
      <c r="D72" s="262"/>
      <c r="E72" s="263"/>
      <c r="F72" s="262"/>
      <c r="G72" s="262"/>
      <c r="H72" s="262"/>
      <c r="I72" s="262"/>
      <c r="J72" s="264"/>
      <c r="K72" s="262"/>
      <c r="L72" s="494">
        <v>0</v>
      </c>
      <c r="M72" s="495">
        <v>0</v>
      </c>
      <c r="N72" s="264"/>
      <c r="O72" s="262"/>
      <c r="P72" s="267">
        <v>0</v>
      </c>
      <c r="Q72" s="494">
        <v>0</v>
      </c>
      <c r="R72" s="495">
        <v>0</v>
      </c>
      <c r="S72" s="264"/>
      <c r="T72" s="262"/>
      <c r="U72" s="268">
        <v>0</v>
      </c>
      <c r="V72" s="269">
        <v>0</v>
      </c>
      <c r="W72" s="268"/>
      <c r="X72" s="269"/>
      <c r="Y72" s="268"/>
      <c r="Z72" s="269"/>
      <c r="AA72" s="268"/>
      <c r="AB72" s="523"/>
      <c r="AC72" s="524">
        <v>0</v>
      </c>
      <c r="AD72" s="271">
        <v>0</v>
      </c>
      <c r="AE72" s="270">
        <v>0</v>
      </c>
      <c r="AF72" s="271">
        <v>0</v>
      </c>
      <c r="AG72" s="270">
        <v>0</v>
      </c>
      <c r="AH72" s="525">
        <v>0</v>
      </c>
      <c r="AI72" s="526">
        <f t="shared" si="20"/>
        <v>0</v>
      </c>
      <c r="AJ72" s="272">
        <f t="shared" si="21"/>
        <v>0</v>
      </c>
      <c r="AK72" s="273">
        <f t="shared" si="26"/>
        <v>0</v>
      </c>
      <c r="AL72" s="274">
        <f t="shared" si="26"/>
        <v>0</v>
      </c>
      <c r="AM72" s="275">
        <f t="shared" si="22"/>
        <v>0</v>
      </c>
      <c r="AN72" s="276">
        <f t="shared" si="23"/>
        <v>0</v>
      </c>
      <c r="AO72" s="277">
        <f t="shared" si="24"/>
        <v>0</v>
      </c>
      <c r="AP72" s="331"/>
      <c r="AQ72" s="278">
        <f t="shared" si="27"/>
        <v>0</v>
      </c>
      <c r="AR72" s="331">
        <v>0</v>
      </c>
      <c r="AS72" s="281">
        <f t="shared" si="25"/>
        <v>0</v>
      </c>
    </row>
    <row r="73" spans="1:45" ht="15" customHeight="1" x14ac:dyDescent="0.25">
      <c r="A73" s="261">
        <v>70</v>
      </c>
      <c r="B73" s="5">
        <v>392750</v>
      </c>
      <c r="C73" s="6" t="s">
        <v>65</v>
      </c>
      <c r="D73" s="262"/>
      <c r="E73" s="263"/>
      <c r="F73" s="262"/>
      <c r="G73" s="262"/>
      <c r="H73" s="262"/>
      <c r="I73" s="262"/>
      <c r="J73" s="264"/>
      <c r="K73" s="262"/>
      <c r="L73" s="494">
        <v>0</v>
      </c>
      <c r="M73" s="495">
        <v>0</v>
      </c>
      <c r="N73" s="264"/>
      <c r="O73" s="262"/>
      <c r="P73" s="267">
        <v>0</v>
      </c>
      <c r="Q73" s="494">
        <v>0</v>
      </c>
      <c r="R73" s="495">
        <v>0</v>
      </c>
      <c r="S73" s="264"/>
      <c r="T73" s="262"/>
      <c r="U73" s="268">
        <v>0</v>
      </c>
      <c r="V73" s="269">
        <v>0</v>
      </c>
      <c r="W73" s="268"/>
      <c r="X73" s="269"/>
      <c r="Y73" s="268"/>
      <c r="Z73" s="269"/>
      <c r="AA73" s="268"/>
      <c r="AB73" s="523"/>
      <c r="AC73" s="524">
        <v>0</v>
      </c>
      <c r="AD73" s="271">
        <v>0</v>
      </c>
      <c r="AE73" s="270">
        <v>0</v>
      </c>
      <c r="AF73" s="271">
        <v>0</v>
      </c>
      <c r="AG73" s="270">
        <v>0</v>
      </c>
      <c r="AH73" s="525">
        <v>0</v>
      </c>
      <c r="AI73" s="526">
        <f t="shared" si="20"/>
        <v>0</v>
      </c>
      <c r="AJ73" s="272">
        <f t="shared" si="21"/>
        <v>0</v>
      </c>
      <c r="AK73" s="273">
        <f t="shared" si="26"/>
        <v>0</v>
      </c>
      <c r="AL73" s="274">
        <f t="shared" si="26"/>
        <v>0</v>
      </c>
      <c r="AM73" s="275">
        <f t="shared" si="22"/>
        <v>0</v>
      </c>
      <c r="AN73" s="276">
        <f t="shared" si="23"/>
        <v>0</v>
      </c>
      <c r="AO73" s="277">
        <f t="shared" si="24"/>
        <v>0</v>
      </c>
      <c r="AP73" s="331"/>
      <c r="AQ73" s="278">
        <f t="shared" si="27"/>
        <v>0</v>
      </c>
      <c r="AR73" s="331">
        <v>0</v>
      </c>
      <c r="AS73" s="281">
        <f t="shared" si="25"/>
        <v>0</v>
      </c>
    </row>
    <row r="74" spans="1:45" ht="15" customHeight="1" x14ac:dyDescent="0.25">
      <c r="A74" s="261">
        <v>71</v>
      </c>
      <c r="B74" s="5">
        <v>392830</v>
      </c>
      <c r="C74" s="6" t="s">
        <v>200</v>
      </c>
      <c r="D74" s="262"/>
      <c r="E74" s="263"/>
      <c r="F74" s="262"/>
      <c r="G74" s="262"/>
      <c r="H74" s="262"/>
      <c r="I74" s="262"/>
      <c r="J74" s="264"/>
      <c r="K74" s="262"/>
      <c r="L74" s="494">
        <v>0</v>
      </c>
      <c r="M74" s="495">
        <v>0</v>
      </c>
      <c r="N74" s="264"/>
      <c r="O74" s="262"/>
      <c r="P74" s="267">
        <v>0</v>
      </c>
      <c r="Q74" s="494">
        <v>0</v>
      </c>
      <c r="R74" s="495">
        <v>0</v>
      </c>
      <c r="S74" s="264"/>
      <c r="T74" s="262"/>
      <c r="U74" s="268">
        <v>0</v>
      </c>
      <c r="V74" s="269">
        <v>0</v>
      </c>
      <c r="W74" s="268"/>
      <c r="X74" s="269"/>
      <c r="Y74" s="268"/>
      <c r="Z74" s="269"/>
      <c r="AA74" s="268"/>
      <c r="AB74" s="523"/>
      <c r="AC74" s="524">
        <v>0</v>
      </c>
      <c r="AD74" s="271">
        <v>0</v>
      </c>
      <c r="AE74" s="270">
        <v>0</v>
      </c>
      <c r="AF74" s="271">
        <v>0</v>
      </c>
      <c r="AG74" s="270">
        <v>0</v>
      </c>
      <c r="AH74" s="525">
        <v>0</v>
      </c>
      <c r="AI74" s="526">
        <f t="shared" si="20"/>
        <v>0</v>
      </c>
      <c r="AJ74" s="272">
        <f t="shared" si="21"/>
        <v>0</v>
      </c>
      <c r="AK74" s="273">
        <f t="shared" si="26"/>
        <v>0</v>
      </c>
      <c r="AL74" s="274">
        <f t="shared" si="26"/>
        <v>0</v>
      </c>
      <c r="AM74" s="275">
        <f t="shared" si="22"/>
        <v>0</v>
      </c>
      <c r="AN74" s="276">
        <f t="shared" si="23"/>
        <v>0</v>
      </c>
      <c r="AO74" s="277">
        <f t="shared" si="24"/>
        <v>0</v>
      </c>
      <c r="AP74" s="331"/>
      <c r="AQ74" s="278">
        <f t="shared" si="27"/>
        <v>0</v>
      </c>
      <c r="AR74" s="331">
        <v>0</v>
      </c>
      <c r="AS74" s="281">
        <f t="shared" si="25"/>
        <v>0</v>
      </c>
    </row>
    <row r="75" spans="1:45" ht="15" customHeight="1" x14ac:dyDescent="0.25">
      <c r="A75" s="261">
        <v>72</v>
      </c>
      <c r="B75" s="437">
        <v>390008</v>
      </c>
      <c r="C75" s="6" t="s">
        <v>201</v>
      </c>
      <c r="D75" s="262"/>
      <c r="E75" s="263"/>
      <c r="F75" s="262"/>
      <c r="G75" s="262"/>
      <c r="H75" s="262"/>
      <c r="I75" s="262"/>
      <c r="J75" s="264"/>
      <c r="K75" s="262"/>
      <c r="L75" s="494">
        <v>0</v>
      </c>
      <c r="M75" s="495">
        <v>0</v>
      </c>
      <c r="N75" s="264"/>
      <c r="O75" s="262"/>
      <c r="P75" s="267">
        <v>0</v>
      </c>
      <c r="Q75" s="494">
        <v>0</v>
      </c>
      <c r="R75" s="495">
        <v>0</v>
      </c>
      <c r="S75" s="264"/>
      <c r="T75" s="262"/>
      <c r="U75" s="268">
        <v>0</v>
      </c>
      <c r="V75" s="269">
        <v>0</v>
      </c>
      <c r="W75" s="268"/>
      <c r="X75" s="269"/>
      <c r="Y75" s="268"/>
      <c r="Z75" s="269"/>
      <c r="AA75" s="268"/>
      <c r="AB75" s="523"/>
      <c r="AC75" s="524">
        <v>0</v>
      </c>
      <c r="AD75" s="271">
        <v>0</v>
      </c>
      <c r="AE75" s="270">
        <v>0</v>
      </c>
      <c r="AF75" s="271">
        <v>0</v>
      </c>
      <c r="AG75" s="270">
        <v>0</v>
      </c>
      <c r="AH75" s="525">
        <v>0</v>
      </c>
      <c r="AI75" s="526">
        <f t="shared" si="20"/>
        <v>0</v>
      </c>
      <c r="AJ75" s="272">
        <f t="shared" si="21"/>
        <v>0</v>
      </c>
      <c r="AK75" s="273">
        <f t="shared" si="26"/>
        <v>0</v>
      </c>
      <c r="AL75" s="274">
        <f t="shared" si="26"/>
        <v>0</v>
      </c>
      <c r="AM75" s="275">
        <f t="shared" si="22"/>
        <v>0</v>
      </c>
      <c r="AN75" s="276">
        <f t="shared" si="23"/>
        <v>0</v>
      </c>
      <c r="AO75" s="277">
        <f t="shared" si="24"/>
        <v>0</v>
      </c>
      <c r="AP75" s="331"/>
      <c r="AQ75" s="278">
        <f t="shared" si="27"/>
        <v>0</v>
      </c>
      <c r="AR75" s="331">
        <v>0</v>
      </c>
      <c r="AS75" s="281">
        <f t="shared" si="25"/>
        <v>0</v>
      </c>
    </row>
    <row r="76" spans="1:45" ht="15" customHeight="1" x14ac:dyDescent="0.25">
      <c r="A76" s="261">
        <v>73</v>
      </c>
      <c r="B76" s="5">
        <v>391960</v>
      </c>
      <c r="C76" s="6" t="s">
        <v>66</v>
      </c>
      <c r="D76" s="262"/>
      <c r="E76" s="263"/>
      <c r="F76" s="262"/>
      <c r="G76" s="262"/>
      <c r="H76" s="262"/>
      <c r="I76" s="262"/>
      <c r="J76" s="264"/>
      <c r="K76" s="262"/>
      <c r="L76" s="494">
        <v>0</v>
      </c>
      <c r="M76" s="495">
        <v>0</v>
      </c>
      <c r="N76" s="264"/>
      <c r="O76" s="262"/>
      <c r="P76" s="267">
        <v>6855482.8399999999</v>
      </c>
      <c r="Q76" s="494">
        <v>0</v>
      </c>
      <c r="R76" s="495">
        <v>0</v>
      </c>
      <c r="S76" s="264"/>
      <c r="T76" s="262"/>
      <c r="U76" s="268">
        <v>0</v>
      </c>
      <c r="V76" s="269">
        <v>0</v>
      </c>
      <c r="W76" s="268"/>
      <c r="X76" s="269"/>
      <c r="Y76" s="268"/>
      <c r="Z76" s="269"/>
      <c r="AA76" s="268"/>
      <c r="AB76" s="523"/>
      <c r="AC76" s="524">
        <v>0</v>
      </c>
      <c r="AD76" s="271">
        <v>0</v>
      </c>
      <c r="AE76" s="270">
        <v>0</v>
      </c>
      <c r="AF76" s="271">
        <v>0</v>
      </c>
      <c r="AG76" s="270">
        <v>0</v>
      </c>
      <c r="AH76" s="525">
        <v>0</v>
      </c>
      <c r="AI76" s="526">
        <f t="shared" si="20"/>
        <v>0</v>
      </c>
      <c r="AJ76" s="272">
        <f t="shared" si="21"/>
        <v>0</v>
      </c>
      <c r="AK76" s="273">
        <f t="shared" si="26"/>
        <v>0</v>
      </c>
      <c r="AL76" s="274">
        <f t="shared" si="26"/>
        <v>0</v>
      </c>
      <c r="AM76" s="275">
        <f t="shared" si="22"/>
        <v>6855482.8399999999</v>
      </c>
      <c r="AN76" s="276">
        <f t="shared" si="23"/>
        <v>6855482.8399999999</v>
      </c>
      <c r="AO76" s="277">
        <f t="shared" si="24"/>
        <v>0</v>
      </c>
      <c r="AP76" s="331"/>
      <c r="AQ76" s="278">
        <f t="shared" si="27"/>
        <v>6855482.8399999999</v>
      </c>
      <c r="AR76" s="331">
        <v>6855482.8399999999</v>
      </c>
      <c r="AS76" s="281">
        <f t="shared" si="25"/>
        <v>0</v>
      </c>
    </row>
    <row r="77" spans="1:45" ht="15" customHeight="1" x14ac:dyDescent="0.25">
      <c r="A77" s="261">
        <v>74</v>
      </c>
      <c r="B77" s="437">
        <v>390007</v>
      </c>
      <c r="C77" s="6" t="s">
        <v>202</v>
      </c>
      <c r="D77" s="262"/>
      <c r="E77" s="263"/>
      <c r="F77" s="262"/>
      <c r="G77" s="262"/>
      <c r="H77" s="262"/>
      <c r="I77" s="262"/>
      <c r="J77" s="264"/>
      <c r="K77" s="262"/>
      <c r="L77" s="494">
        <v>23</v>
      </c>
      <c r="M77" s="495">
        <v>29896.94</v>
      </c>
      <c r="N77" s="264"/>
      <c r="O77" s="262"/>
      <c r="P77" s="267">
        <v>0</v>
      </c>
      <c r="Q77" s="494">
        <v>0</v>
      </c>
      <c r="R77" s="495"/>
      <c r="S77" s="264"/>
      <c r="T77" s="262"/>
      <c r="U77" s="268">
        <v>0</v>
      </c>
      <c r="V77" s="269">
        <v>0</v>
      </c>
      <c r="W77" s="268"/>
      <c r="X77" s="269"/>
      <c r="Y77" s="268"/>
      <c r="Z77" s="269"/>
      <c r="AA77" s="268"/>
      <c r="AB77" s="523"/>
      <c r="AC77" s="524">
        <v>0</v>
      </c>
      <c r="AD77" s="271">
        <v>0</v>
      </c>
      <c r="AE77" s="270">
        <v>0</v>
      </c>
      <c r="AF77" s="271">
        <v>0</v>
      </c>
      <c r="AG77" s="270">
        <v>0</v>
      </c>
      <c r="AH77" s="525">
        <v>0</v>
      </c>
      <c r="AI77" s="526">
        <f t="shared" si="20"/>
        <v>23</v>
      </c>
      <c r="AJ77" s="272">
        <f t="shared" si="21"/>
        <v>0</v>
      </c>
      <c r="AK77" s="273">
        <f t="shared" si="26"/>
        <v>0</v>
      </c>
      <c r="AL77" s="274">
        <f t="shared" si="26"/>
        <v>0</v>
      </c>
      <c r="AM77" s="275">
        <f>R77+M77+O77+P77+T77+V77+X77+Z77+AB77+AD77+AF77+AH77</f>
        <v>29896.94</v>
      </c>
      <c r="AN77" s="276">
        <f t="shared" si="23"/>
        <v>29896.94</v>
      </c>
      <c r="AO77" s="277">
        <f t="shared" si="24"/>
        <v>29896.94</v>
      </c>
      <c r="AP77" s="331"/>
      <c r="AQ77" s="278">
        <f>AN77-AH77-AF77-AD77</f>
        <v>29896.94</v>
      </c>
      <c r="AR77" s="331">
        <v>29896.94</v>
      </c>
      <c r="AS77" s="281">
        <f t="shared" si="25"/>
        <v>0</v>
      </c>
    </row>
    <row r="78" spans="1:45" ht="15" customHeight="1" x14ac:dyDescent="0.25">
      <c r="A78" s="261">
        <v>75</v>
      </c>
      <c r="B78" s="5">
        <v>391370</v>
      </c>
      <c r="C78" s="6" t="s">
        <v>73</v>
      </c>
      <c r="D78" s="262"/>
      <c r="E78" s="263"/>
      <c r="F78" s="262"/>
      <c r="G78" s="262"/>
      <c r="H78" s="262"/>
      <c r="I78" s="262"/>
      <c r="J78" s="264"/>
      <c r="K78" s="262"/>
      <c r="L78" s="494">
        <v>0</v>
      </c>
      <c r="M78" s="495">
        <v>0</v>
      </c>
      <c r="N78" s="264"/>
      <c r="O78" s="262"/>
      <c r="P78" s="267">
        <v>2571850.42</v>
      </c>
      <c r="Q78" s="494">
        <v>0</v>
      </c>
      <c r="R78" s="495">
        <v>0</v>
      </c>
      <c r="S78" s="264"/>
      <c r="T78" s="262"/>
      <c r="U78" s="268">
        <v>0</v>
      </c>
      <c r="V78" s="269">
        <v>0</v>
      </c>
      <c r="W78" s="268"/>
      <c r="X78" s="269"/>
      <c r="Y78" s="268"/>
      <c r="Z78" s="269"/>
      <c r="AA78" s="268"/>
      <c r="AB78" s="523"/>
      <c r="AC78" s="524">
        <v>0</v>
      </c>
      <c r="AD78" s="271">
        <v>0</v>
      </c>
      <c r="AE78" s="270">
        <v>0</v>
      </c>
      <c r="AF78" s="271">
        <v>0</v>
      </c>
      <c r="AG78" s="270">
        <v>0</v>
      </c>
      <c r="AH78" s="525">
        <v>0</v>
      </c>
      <c r="AI78" s="526">
        <f t="shared" si="20"/>
        <v>0</v>
      </c>
      <c r="AJ78" s="272">
        <f t="shared" si="21"/>
        <v>0</v>
      </c>
      <c r="AK78" s="273">
        <f t="shared" si="26"/>
        <v>0</v>
      </c>
      <c r="AL78" s="274">
        <f t="shared" si="26"/>
        <v>0</v>
      </c>
      <c r="AM78" s="275">
        <f t="shared" si="22"/>
        <v>2571850.42</v>
      </c>
      <c r="AN78" s="276">
        <f t="shared" si="23"/>
        <v>2571850.42</v>
      </c>
      <c r="AO78" s="277">
        <f t="shared" si="24"/>
        <v>0</v>
      </c>
      <c r="AP78" s="331"/>
      <c r="AQ78" s="278">
        <f t="shared" si="27"/>
        <v>2571850.42</v>
      </c>
      <c r="AR78" s="331">
        <v>2571850.42</v>
      </c>
      <c r="AS78" s="281">
        <f t="shared" si="25"/>
        <v>0</v>
      </c>
    </row>
    <row r="79" spans="1:45" ht="15" customHeight="1" x14ac:dyDescent="0.25">
      <c r="A79" s="261">
        <v>76</v>
      </c>
      <c r="B79" s="5">
        <v>392470</v>
      </c>
      <c r="C79" s="6" t="s">
        <v>67</v>
      </c>
      <c r="D79" s="262"/>
      <c r="E79" s="263"/>
      <c r="F79" s="262"/>
      <c r="G79" s="262"/>
      <c r="H79" s="262"/>
      <c r="I79" s="262"/>
      <c r="J79" s="264"/>
      <c r="K79" s="262"/>
      <c r="L79" s="494">
        <v>0</v>
      </c>
      <c r="M79" s="495">
        <v>0</v>
      </c>
      <c r="N79" s="264"/>
      <c r="O79" s="262"/>
      <c r="P79" s="267">
        <v>0</v>
      </c>
      <c r="Q79" s="494">
        <v>0</v>
      </c>
      <c r="R79" s="495">
        <v>0</v>
      </c>
      <c r="S79" s="264"/>
      <c r="T79" s="262"/>
      <c r="U79" s="268">
        <v>0</v>
      </c>
      <c r="V79" s="269">
        <v>0</v>
      </c>
      <c r="W79" s="268"/>
      <c r="X79" s="269"/>
      <c r="Y79" s="268"/>
      <c r="Z79" s="269"/>
      <c r="AA79" s="268"/>
      <c r="AB79" s="523"/>
      <c r="AC79" s="524">
        <v>0</v>
      </c>
      <c r="AD79" s="271">
        <v>0</v>
      </c>
      <c r="AE79" s="270">
        <v>0</v>
      </c>
      <c r="AF79" s="271">
        <v>0</v>
      </c>
      <c r="AG79" s="270">
        <v>0</v>
      </c>
      <c r="AH79" s="525">
        <v>0</v>
      </c>
      <c r="AI79" s="526">
        <f t="shared" si="20"/>
        <v>0</v>
      </c>
      <c r="AJ79" s="272">
        <f t="shared" si="21"/>
        <v>0</v>
      </c>
      <c r="AK79" s="273">
        <f t="shared" si="26"/>
        <v>0</v>
      </c>
      <c r="AL79" s="274">
        <f t="shared" si="26"/>
        <v>0</v>
      </c>
      <c r="AM79" s="275">
        <f t="shared" si="22"/>
        <v>0</v>
      </c>
      <c r="AN79" s="276">
        <f t="shared" si="23"/>
        <v>0</v>
      </c>
      <c r="AO79" s="277">
        <f t="shared" si="24"/>
        <v>0</v>
      </c>
      <c r="AP79" s="331"/>
      <c r="AQ79" s="278">
        <f t="shared" si="27"/>
        <v>0</v>
      </c>
      <c r="AR79" s="331">
        <v>0</v>
      </c>
      <c r="AS79" s="281">
        <f t="shared" si="25"/>
        <v>0</v>
      </c>
    </row>
    <row r="80" spans="1:45" ht="15" customHeight="1" x14ac:dyDescent="0.25">
      <c r="A80" s="261">
        <v>77</v>
      </c>
      <c r="B80" s="5">
        <v>391970</v>
      </c>
      <c r="C80" s="6" t="s">
        <v>203</v>
      </c>
      <c r="D80" s="262"/>
      <c r="E80" s="263"/>
      <c r="F80" s="262"/>
      <c r="G80" s="262"/>
      <c r="H80" s="262"/>
      <c r="I80" s="262"/>
      <c r="J80" s="264"/>
      <c r="K80" s="262"/>
      <c r="L80" s="494">
        <v>0</v>
      </c>
      <c r="M80" s="495">
        <v>0</v>
      </c>
      <c r="N80" s="264"/>
      <c r="O80" s="262"/>
      <c r="P80" s="267">
        <v>4487984.13</v>
      </c>
      <c r="Q80" s="494">
        <v>0</v>
      </c>
      <c r="R80" s="495">
        <v>0</v>
      </c>
      <c r="S80" s="264"/>
      <c r="T80" s="262"/>
      <c r="U80" s="268">
        <v>0</v>
      </c>
      <c r="V80" s="269">
        <v>0</v>
      </c>
      <c r="W80" s="268"/>
      <c r="X80" s="269"/>
      <c r="Y80" s="268"/>
      <c r="Z80" s="269"/>
      <c r="AA80" s="268"/>
      <c r="AB80" s="523"/>
      <c r="AC80" s="524">
        <v>0</v>
      </c>
      <c r="AD80" s="271">
        <v>0</v>
      </c>
      <c r="AE80" s="270">
        <v>0</v>
      </c>
      <c r="AF80" s="271">
        <v>0</v>
      </c>
      <c r="AG80" s="270">
        <v>0</v>
      </c>
      <c r="AH80" s="525">
        <v>0</v>
      </c>
      <c r="AI80" s="526">
        <f t="shared" si="20"/>
        <v>0</v>
      </c>
      <c r="AJ80" s="272">
        <f t="shared" si="21"/>
        <v>0</v>
      </c>
      <c r="AK80" s="273">
        <f t="shared" si="26"/>
        <v>0</v>
      </c>
      <c r="AL80" s="274">
        <f t="shared" si="26"/>
        <v>0</v>
      </c>
      <c r="AM80" s="275">
        <f t="shared" si="22"/>
        <v>4487984.13</v>
      </c>
      <c r="AN80" s="276">
        <f t="shared" si="23"/>
        <v>4487984.13</v>
      </c>
      <c r="AO80" s="277">
        <f t="shared" si="24"/>
        <v>0</v>
      </c>
      <c r="AP80" s="331"/>
      <c r="AQ80" s="278">
        <f t="shared" si="27"/>
        <v>4487984.13</v>
      </c>
      <c r="AR80" s="331">
        <v>4487984.13</v>
      </c>
      <c r="AS80" s="281">
        <f t="shared" si="25"/>
        <v>0</v>
      </c>
    </row>
    <row r="81" spans="1:45" ht="15" customHeight="1" x14ac:dyDescent="0.25">
      <c r="A81" s="261">
        <v>78</v>
      </c>
      <c r="B81" s="5">
        <v>392720</v>
      </c>
      <c r="C81" s="6" t="s">
        <v>69</v>
      </c>
      <c r="D81" s="262"/>
      <c r="E81" s="263"/>
      <c r="F81" s="262"/>
      <c r="G81" s="262"/>
      <c r="H81" s="262"/>
      <c r="I81" s="262"/>
      <c r="J81" s="264"/>
      <c r="K81" s="262"/>
      <c r="L81" s="494">
        <v>0</v>
      </c>
      <c r="M81" s="495">
        <v>0</v>
      </c>
      <c r="N81" s="264"/>
      <c r="O81" s="262"/>
      <c r="P81" s="267">
        <v>0</v>
      </c>
      <c r="Q81" s="494">
        <v>0</v>
      </c>
      <c r="R81" s="495">
        <v>0</v>
      </c>
      <c r="S81" s="264"/>
      <c r="T81" s="262"/>
      <c r="U81" s="268">
        <v>0</v>
      </c>
      <c r="V81" s="269">
        <v>0</v>
      </c>
      <c r="W81" s="268"/>
      <c r="X81" s="269"/>
      <c r="Y81" s="268"/>
      <c r="Z81" s="269"/>
      <c r="AA81" s="268"/>
      <c r="AB81" s="523"/>
      <c r="AC81" s="524">
        <v>0</v>
      </c>
      <c r="AD81" s="271">
        <v>0</v>
      </c>
      <c r="AE81" s="270">
        <v>0</v>
      </c>
      <c r="AF81" s="271">
        <v>0</v>
      </c>
      <c r="AG81" s="270">
        <v>0</v>
      </c>
      <c r="AH81" s="525">
        <v>0</v>
      </c>
      <c r="AI81" s="526">
        <f t="shared" si="20"/>
        <v>0</v>
      </c>
      <c r="AJ81" s="272">
        <f t="shared" si="21"/>
        <v>0</v>
      </c>
      <c r="AK81" s="273">
        <f t="shared" si="26"/>
        <v>0</v>
      </c>
      <c r="AL81" s="274">
        <f t="shared" si="26"/>
        <v>0</v>
      </c>
      <c r="AM81" s="275">
        <f t="shared" si="22"/>
        <v>0</v>
      </c>
      <c r="AN81" s="276">
        <f t="shared" si="23"/>
        <v>0</v>
      </c>
      <c r="AO81" s="277">
        <f t="shared" si="24"/>
        <v>0</v>
      </c>
      <c r="AP81" s="331"/>
      <c r="AQ81" s="278">
        <f t="shared" si="27"/>
        <v>0</v>
      </c>
      <c r="AR81" s="331">
        <v>0</v>
      </c>
      <c r="AS81" s="281">
        <f t="shared" si="25"/>
        <v>0</v>
      </c>
    </row>
    <row r="82" spans="1:45" ht="15" customHeight="1" x14ac:dyDescent="0.25">
      <c r="A82" s="261">
        <v>79</v>
      </c>
      <c r="B82" s="5">
        <v>392050</v>
      </c>
      <c r="C82" s="6" t="s">
        <v>204</v>
      </c>
      <c r="D82" s="262"/>
      <c r="E82" s="263"/>
      <c r="F82" s="262"/>
      <c r="G82" s="262"/>
      <c r="H82" s="262"/>
      <c r="I82" s="262"/>
      <c r="J82" s="264"/>
      <c r="K82" s="262"/>
      <c r="L82" s="494">
        <v>0</v>
      </c>
      <c r="M82" s="495">
        <v>0</v>
      </c>
      <c r="N82" s="264"/>
      <c r="O82" s="262"/>
      <c r="P82" s="267">
        <v>0</v>
      </c>
      <c r="Q82" s="494">
        <v>0</v>
      </c>
      <c r="R82" s="495">
        <v>0</v>
      </c>
      <c r="S82" s="264"/>
      <c r="T82" s="262"/>
      <c r="U82" s="268">
        <v>0</v>
      </c>
      <c r="V82" s="269">
        <v>0</v>
      </c>
      <c r="W82" s="268"/>
      <c r="X82" s="269"/>
      <c r="Y82" s="268"/>
      <c r="Z82" s="269"/>
      <c r="AA82" s="268"/>
      <c r="AB82" s="523"/>
      <c r="AC82" s="524">
        <v>0</v>
      </c>
      <c r="AD82" s="271">
        <v>0</v>
      </c>
      <c r="AE82" s="270">
        <v>0</v>
      </c>
      <c r="AF82" s="271">
        <v>0</v>
      </c>
      <c r="AG82" s="270">
        <v>0</v>
      </c>
      <c r="AH82" s="525">
        <v>0</v>
      </c>
      <c r="AI82" s="526">
        <f t="shared" si="20"/>
        <v>0</v>
      </c>
      <c r="AJ82" s="272">
        <f t="shared" si="21"/>
        <v>0</v>
      </c>
      <c r="AK82" s="273">
        <f t="shared" si="26"/>
        <v>0</v>
      </c>
      <c r="AL82" s="274">
        <f t="shared" si="26"/>
        <v>0</v>
      </c>
      <c r="AM82" s="275">
        <f t="shared" si="22"/>
        <v>0</v>
      </c>
      <c r="AN82" s="276">
        <f t="shared" si="23"/>
        <v>0</v>
      </c>
      <c r="AO82" s="277">
        <f t="shared" si="24"/>
        <v>0</v>
      </c>
      <c r="AP82" s="331"/>
      <c r="AQ82" s="278">
        <f t="shared" si="27"/>
        <v>0</v>
      </c>
      <c r="AR82" s="331">
        <v>0</v>
      </c>
      <c r="AS82" s="281">
        <f t="shared" si="25"/>
        <v>0</v>
      </c>
    </row>
    <row r="83" spans="1:45" ht="15" customHeight="1" x14ac:dyDescent="0.25">
      <c r="A83" s="261">
        <v>80</v>
      </c>
      <c r="B83" s="5">
        <v>391840</v>
      </c>
      <c r="C83" s="6" t="s">
        <v>205</v>
      </c>
      <c r="D83" s="262"/>
      <c r="E83" s="263"/>
      <c r="F83" s="262"/>
      <c r="G83" s="262"/>
      <c r="H83" s="262"/>
      <c r="I83" s="262"/>
      <c r="J83" s="264"/>
      <c r="K83" s="262"/>
      <c r="L83" s="494">
        <v>0</v>
      </c>
      <c r="M83" s="495">
        <v>0</v>
      </c>
      <c r="N83" s="264"/>
      <c r="O83" s="262"/>
      <c r="P83" s="267">
        <v>0</v>
      </c>
      <c r="Q83" s="494">
        <v>0</v>
      </c>
      <c r="R83" s="495">
        <v>0</v>
      </c>
      <c r="S83" s="527">
        <v>0</v>
      </c>
      <c r="T83" s="267">
        <v>0</v>
      </c>
      <c r="U83" s="268">
        <v>0</v>
      </c>
      <c r="V83" s="269">
        <v>0</v>
      </c>
      <c r="W83" s="268"/>
      <c r="X83" s="269"/>
      <c r="Y83" s="268"/>
      <c r="Z83" s="269"/>
      <c r="AA83" s="268"/>
      <c r="AB83" s="523"/>
      <c r="AC83" s="524">
        <v>0</v>
      </c>
      <c r="AD83" s="271">
        <v>0</v>
      </c>
      <c r="AE83" s="270">
        <v>0</v>
      </c>
      <c r="AF83" s="271">
        <v>0</v>
      </c>
      <c r="AG83" s="270">
        <v>0</v>
      </c>
      <c r="AH83" s="525">
        <v>0</v>
      </c>
      <c r="AI83" s="526">
        <f t="shared" si="20"/>
        <v>0</v>
      </c>
      <c r="AJ83" s="272">
        <f t="shared" si="21"/>
        <v>0</v>
      </c>
      <c r="AK83" s="273">
        <f t="shared" si="26"/>
        <v>0</v>
      </c>
      <c r="AL83" s="274">
        <f t="shared" si="26"/>
        <v>0</v>
      </c>
      <c r="AM83" s="275">
        <f t="shared" si="22"/>
        <v>0</v>
      </c>
      <c r="AN83" s="276">
        <f t="shared" si="23"/>
        <v>0</v>
      </c>
      <c r="AO83" s="277">
        <f t="shared" si="24"/>
        <v>0</v>
      </c>
      <c r="AP83" s="331"/>
      <c r="AQ83" s="278">
        <f t="shared" si="27"/>
        <v>0</v>
      </c>
      <c r="AR83" s="331">
        <v>0</v>
      </c>
      <c r="AS83" s="281">
        <f t="shared" si="25"/>
        <v>0</v>
      </c>
    </row>
    <row r="84" spans="1:45" ht="15" customHeight="1" x14ac:dyDescent="0.25">
      <c r="A84" s="261">
        <v>81</v>
      </c>
      <c r="B84" s="437">
        <v>390002</v>
      </c>
      <c r="C84" s="6" t="s">
        <v>263</v>
      </c>
      <c r="D84" s="262"/>
      <c r="E84" s="263"/>
      <c r="F84" s="262"/>
      <c r="G84" s="262"/>
      <c r="H84" s="262"/>
      <c r="I84" s="262"/>
      <c r="J84" s="264"/>
      <c r="K84" s="262"/>
      <c r="L84" s="494">
        <v>0</v>
      </c>
      <c r="M84" s="495">
        <v>0</v>
      </c>
      <c r="N84" s="264"/>
      <c r="O84" s="262"/>
      <c r="P84" s="267">
        <v>0</v>
      </c>
      <c r="Q84" s="494">
        <v>0</v>
      </c>
      <c r="R84" s="495">
        <v>0</v>
      </c>
      <c r="S84" s="264"/>
      <c r="T84" s="262"/>
      <c r="U84" s="268">
        <v>0</v>
      </c>
      <c r="V84" s="269">
        <v>0</v>
      </c>
      <c r="W84" s="268"/>
      <c r="X84" s="269"/>
      <c r="Y84" s="268"/>
      <c r="Z84" s="269"/>
      <c r="AA84" s="268"/>
      <c r="AB84" s="523"/>
      <c r="AC84" s="524">
        <v>0</v>
      </c>
      <c r="AD84" s="271">
        <v>0</v>
      </c>
      <c r="AE84" s="270">
        <v>0</v>
      </c>
      <c r="AF84" s="271">
        <v>0</v>
      </c>
      <c r="AG84" s="270">
        <v>0</v>
      </c>
      <c r="AH84" s="525">
        <v>0</v>
      </c>
      <c r="AI84" s="526">
        <f t="shared" si="20"/>
        <v>0</v>
      </c>
      <c r="AJ84" s="272">
        <f t="shared" si="21"/>
        <v>0</v>
      </c>
      <c r="AK84" s="273">
        <f t="shared" si="26"/>
        <v>0</v>
      </c>
      <c r="AL84" s="274">
        <f t="shared" si="26"/>
        <v>0</v>
      </c>
      <c r="AM84" s="275">
        <f t="shared" si="22"/>
        <v>0</v>
      </c>
      <c r="AN84" s="276">
        <f t="shared" si="23"/>
        <v>0</v>
      </c>
      <c r="AO84" s="277">
        <f t="shared" si="24"/>
        <v>0</v>
      </c>
      <c r="AP84" s="331"/>
      <c r="AQ84" s="278">
        <f t="shared" si="27"/>
        <v>0</v>
      </c>
      <c r="AR84" s="331">
        <v>0</v>
      </c>
      <c r="AS84" s="281">
        <f t="shared" si="25"/>
        <v>0</v>
      </c>
    </row>
    <row r="85" spans="1:45" ht="15" customHeight="1" x14ac:dyDescent="0.25">
      <c r="A85" s="261">
        <v>82</v>
      </c>
      <c r="B85" s="5">
        <v>392580</v>
      </c>
      <c r="C85" s="6" t="s">
        <v>71</v>
      </c>
      <c r="D85" s="262"/>
      <c r="E85" s="263"/>
      <c r="F85" s="262"/>
      <c r="G85" s="262"/>
      <c r="H85" s="262"/>
      <c r="I85" s="262"/>
      <c r="J85" s="264"/>
      <c r="K85" s="262"/>
      <c r="L85" s="494">
        <v>0</v>
      </c>
      <c r="M85" s="495">
        <v>0</v>
      </c>
      <c r="N85" s="264"/>
      <c r="O85" s="262"/>
      <c r="P85" s="267">
        <v>188049.45</v>
      </c>
      <c r="Q85" s="494">
        <v>0</v>
      </c>
      <c r="R85" s="495">
        <v>0</v>
      </c>
      <c r="S85" s="264"/>
      <c r="T85" s="262"/>
      <c r="U85" s="268">
        <v>0</v>
      </c>
      <c r="V85" s="269">
        <v>0</v>
      </c>
      <c r="W85" s="268"/>
      <c r="X85" s="269"/>
      <c r="Y85" s="268"/>
      <c r="Z85" s="269"/>
      <c r="AA85" s="268"/>
      <c r="AB85" s="523"/>
      <c r="AC85" s="524">
        <v>0</v>
      </c>
      <c r="AD85" s="271">
        <v>0</v>
      </c>
      <c r="AE85" s="270">
        <v>0</v>
      </c>
      <c r="AF85" s="271">
        <v>0</v>
      </c>
      <c r="AG85" s="270">
        <v>0</v>
      </c>
      <c r="AH85" s="525">
        <v>0</v>
      </c>
      <c r="AI85" s="526">
        <f t="shared" si="20"/>
        <v>0</v>
      </c>
      <c r="AJ85" s="272">
        <f t="shared" si="21"/>
        <v>0</v>
      </c>
      <c r="AK85" s="273">
        <f t="shared" si="26"/>
        <v>0</v>
      </c>
      <c r="AL85" s="274">
        <f t="shared" si="26"/>
        <v>0</v>
      </c>
      <c r="AM85" s="275">
        <f t="shared" si="22"/>
        <v>188049.45</v>
      </c>
      <c r="AN85" s="276">
        <f t="shared" si="23"/>
        <v>188049.45</v>
      </c>
      <c r="AO85" s="277">
        <f t="shared" si="24"/>
        <v>0</v>
      </c>
      <c r="AP85" s="331"/>
      <c r="AQ85" s="278">
        <f t="shared" si="27"/>
        <v>188049.45</v>
      </c>
      <c r="AR85" s="331">
        <v>188049.45</v>
      </c>
      <c r="AS85" s="281">
        <f t="shared" si="25"/>
        <v>0</v>
      </c>
    </row>
    <row r="86" spans="1:45" ht="15" customHeight="1" x14ac:dyDescent="0.25">
      <c r="A86" s="261">
        <v>83</v>
      </c>
      <c r="B86" s="437">
        <v>390001</v>
      </c>
      <c r="C86" s="6" t="s">
        <v>207</v>
      </c>
      <c r="D86" s="262"/>
      <c r="E86" s="263"/>
      <c r="F86" s="262"/>
      <c r="G86" s="262"/>
      <c r="H86" s="262"/>
      <c r="I86" s="262"/>
      <c r="J86" s="264"/>
      <c r="K86" s="262"/>
      <c r="L86" s="494">
        <v>0</v>
      </c>
      <c r="M86" s="495">
        <v>0</v>
      </c>
      <c r="N86" s="264"/>
      <c r="O86" s="262"/>
      <c r="P86" s="267">
        <v>3594452.28</v>
      </c>
      <c r="Q86" s="494">
        <v>0</v>
      </c>
      <c r="R86" s="495">
        <v>0</v>
      </c>
      <c r="S86" s="264"/>
      <c r="T86" s="262"/>
      <c r="U86" s="268">
        <v>0</v>
      </c>
      <c r="V86" s="269">
        <v>0</v>
      </c>
      <c r="W86" s="268"/>
      <c r="X86" s="269"/>
      <c r="Y86" s="268"/>
      <c r="Z86" s="269"/>
      <c r="AA86" s="268"/>
      <c r="AB86" s="523"/>
      <c r="AC86" s="524">
        <v>0</v>
      </c>
      <c r="AD86" s="271">
        <v>0</v>
      </c>
      <c r="AE86" s="270">
        <v>0</v>
      </c>
      <c r="AF86" s="271">
        <v>0</v>
      </c>
      <c r="AG86" s="270">
        <v>0</v>
      </c>
      <c r="AH86" s="525">
        <v>0</v>
      </c>
      <c r="AI86" s="526">
        <f t="shared" si="20"/>
        <v>0</v>
      </c>
      <c r="AJ86" s="272">
        <f t="shared" si="21"/>
        <v>0</v>
      </c>
      <c r="AK86" s="273">
        <f t="shared" si="26"/>
        <v>0</v>
      </c>
      <c r="AL86" s="274">
        <f t="shared" si="26"/>
        <v>0</v>
      </c>
      <c r="AM86" s="275">
        <f>R86+M86+O86+P86+T86+V86+X86+Z86+AB86+AD86+AF86+AH86</f>
        <v>3594452.28</v>
      </c>
      <c r="AN86" s="276">
        <f t="shared" si="23"/>
        <v>3594452.28</v>
      </c>
      <c r="AO86" s="277">
        <f>AM86-P86</f>
        <v>0</v>
      </c>
      <c r="AP86" s="331"/>
      <c r="AQ86" s="278">
        <f>AN86-AH86-AF86-AD86</f>
        <v>3594452.28</v>
      </c>
      <c r="AR86" s="331">
        <v>3594452.28</v>
      </c>
      <c r="AS86" s="281">
        <f t="shared" si="25"/>
        <v>0</v>
      </c>
    </row>
    <row r="87" spans="1:45" ht="15" customHeight="1" x14ac:dyDescent="0.25">
      <c r="A87" s="261">
        <v>84</v>
      </c>
      <c r="B87" s="437">
        <v>390010</v>
      </c>
      <c r="C87" s="6" t="s">
        <v>208</v>
      </c>
      <c r="D87" s="291"/>
      <c r="E87" s="292"/>
      <c r="F87" s="262"/>
      <c r="G87" s="262"/>
      <c r="H87" s="262"/>
      <c r="I87" s="291"/>
      <c r="J87" s="293"/>
      <c r="K87" s="291"/>
      <c r="L87" s="494">
        <v>0</v>
      </c>
      <c r="M87" s="495">
        <v>0</v>
      </c>
      <c r="N87" s="293"/>
      <c r="O87" s="291"/>
      <c r="P87" s="267">
        <v>0</v>
      </c>
      <c r="Q87" s="494">
        <v>0</v>
      </c>
      <c r="R87" s="495">
        <v>0</v>
      </c>
      <c r="S87" s="293"/>
      <c r="T87" s="291"/>
      <c r="U87" s="268">
        <v>0</v>
      </c>
      <c r="V87" s="269">
        <v>0</v>
      </c>
      <c r="W87" s="268"/>
      <c r="X87" s="269"/>
      <c r="Y87" s="268"/>
      <c r="Z87" s="269"/>
      <c r="AA87" s="268"/>
      <c r="AB87" s="523"/>
      <c r="AC87" s="524">
        <v>0</v>
      </c>
      <c r="AD87" s="271">
        <v>0</v>
      </c>
      <c r="AE87" s="270">
        <v>0</v>
      </c>
      <c r="AF87" s="271">
        <v>0</v>
      </c>
      <c r="AG87" s="270">
        <v>0</v>
      </c>
      <c r="AH87" s="525">
        <v>0</v>
      </c>
      <c r="AI87" s="526">
        <f t="shared" si="20"/>
        <v>0</v>
      </c>
      <c r="AJ87" s="272">
        <f t="shared" si="21"/>
        <v>0</v>
      </c>
      <c r="AK87" s="273">
        <f t="shared" si="26"/>
        <v>0</v>
      </c>
      <c r="AL87" s="274">
        <f t="shared" si="26"/>
        <v>0</v>
      </c>
      <c r="AM87" s="275">
        <f t="shared" si="22"/>
        <v>0</v>
      </c>
      <c r="AN87" s="276">
        <f t="shared" si="23"/>
        <v>0</v>
      </c>
      <c r="AO87" s="277">
        <f t="shared" si="24"/>
        <v>0</v>
      </c>
      <c r="AP87" s="331"/>
      <c r="AQ87" s="278">
        <f t="shared" si="27"/>
        <v>0</v>
      </c>
      <c r="AR87" s="331">
        <v>0</v>
      </c>
      <c r="AS87" s="281">
        <f t="shared" si="25"/>
        <v>0</v>
      </c>
    </row>
    <row r="88" spans="1:45" ht="15" customHeight="1" x14ac:dyDescent="0.25">
      <c r="A88" s="261"/>
      <c r="B88" s="5"/>
      <c r="C88" s="6"/>
      <c r="D88" s="291"/>
      <c r="E88" s="292"/>
      <c r="F88" s="293"/>
      <c r="G88" s="291"/>
      <c r="H88" s="293"/>
      <c r="I88" s="291"/>
      <c r="J88" s="293"/>
      <c r="K88" s="291"/>
      <c r="L88" s="265"/>
      <c r="M88" s="266"/>
      <c r="N88" s="294"/>
      <c r="O88" s="295"/>
      <c r="P88" s="267"/>
      <c r="Q88" s="494"/>
      <c r="R88" s="495"/>
      <c r="S88" s="293"/>
      <c r="T88" s="291"/>
      <c r="U88" s="268"/>
      <c r="V88" s="269"/>
      <c r="W88" s="268"/>
      <c r="X88" s="269"/>
      <c r="Y88" s="268"/>
      <c r="Z88" s="269"/>
      <c r="AA88" s="268"/>
      <c r="AB88" s="523"/>
      <c r="AC88" s="534"/>
      <c r="AD88" s="535"/>
      <c r="AE88" s="536"/>
      <c r="AF88" s="535"/>
      <c r="AG88" s="536"/>
      <c r="AH88" s="537"/>
      <c r="AI88" s="526"/>
      <c r="AJ88" s="272"/>
      <c r="AK88" s="273"/>
      <c r="AL88" s="274"/>
      <c r="AM88" s="275"/>
      <c r="AN88" s="276"/>
      <c r="AO88" s="277"/>
      <c r="AP88" s="331"/>
      <c r="AQ88" s="278"/>
      <c r="AR88" s="331"/>
    </row>
    <row r="89" spans="1:45" x14ac:dyDescent="0.25">
      <c r="A89" s="261"/>
      <c r="B89" s="261"/>
      <c r="C89" s="296" t="s">
        <v>75</v>
      </c>
      <c r="D89" s="297">
        <f t="shared" ref="D89:AO89" si="28">SUM(D4:D88)</f>
        <v>3067668105.9399991</v>
      </c>
      <c r="E89" s="298">
        <f t="shared" si="28"/>
        <v>-477989207.60000372</v>
      </c>
      <c r="F89" s="299">
        <f t="shared" si="28"/>
        <v>482208</v>
      </c>
      <c r="G89" s="300">
        <f t="shared" si="28"/>
        <v>1752758725.4455435</v>
      </c>
      <c r="H89" s="299">
        <f t="shared" si="28"/>
        <v>1343506</v>
      </c>
      <c r="I89" s="300">
        <f t="shared" si="28"/>
        <v>477591242.62513989</v>
      </c>
      <c r="J89" s="299">
        <f t="shared" si="28"/>
        <v>290013</v>
      </c>
      <c r="K89" s="300">
        <f t="shared" si="28"/>
        <v>279317645.76837242</v>
      </c>
      <c r="L89" s="301">
        <f t="shared" si="28"/>
        <v>37321</v>
      </c>
      <c r="M89" s="302">
        <f t="shared" si="28"/>
        <v>57338308.449999988</v>
      </c>
      <c r="N89" s="299">
        <f t="shared" si="28"/>
        <v>4130</v>
      </c>
      <c r="O89" s="300">
        <f t="shared" si="28"/>
        <v>372369281.88</v>
      </c>
      <c r="P89" s="300">
        <f t="shared" si="28"/>
        <v>383437281.92999077</v>
      </c>
      <c r="Q89" s="301">
        <f t="shared" si="28"/>
        <v>619706</v>
      </c>
      <c r="R89" s="302">
        <f t="shared" si="28"/>
        <v>420650899.15000027</v>
      </c>
      <c r="S89" s="299">
        <f t="shared" si="28"/>
        <v>2338</v>
      </c>
      <c r="T89" s="300">
        <f t="shared" si="28"/>
        <v>35660039.660000116</v>
      </c>
      <c r="U89" s="301">
        <f t="shared" si="28"/>
        <v>237161</v>
      </c>
      <c r="V89" s="302">
        <f t="shared" si="28"/>
        <v>705568158.38999975</v>
      </c>
      <c r="W89" s="301">
        <f t="shared" si="28"/>
        <v>263289</v>
      </c>
      <c r="X89" s="302">
        <f t="shared" si="28"/>
        <v>346497991.27993679</v>
      </c>
      <c r="Y89" s="301">
        <f t="shared" si="28"/>
        <v>76742</v>
      </c>
      <c r="Z89" s="302">
        <f t="shared" si="28"/>
        <v>106197890.58000313</v>
      </c>
      <c r="AA89" s="301">
        <f t="shared" si="28"/>
        <v>230006</v>
      </c>
      <c r="AB89" s="302">
        <f t="shared" si="28"/>
        <v>494081968.9000001</v>
      </c>
      <c r="AC89" s="34">
        <f t="shared" si="28"/>
        <v>34686</v>
      </c>
      <c r="AD89" s="303">
        <f t="shared" si="28"/>
        <v>116713791.18000002</v>
      </c>
      <c r="AE89" s="34">
        <f t="shared" si="28"/>
        <v>439298</v>
      </c>
      <c r="AF89" s="303">
        <f t="shared" si="28"/>
        <v>593917647.31000006</v>
      </c>
      <c r="AG89" s="34">
        <f t="shared" si="28"/>
        <v>9370</v>
      </c>
      <c r="AH89" s="303">
        <f t="shared" si="28"/>
        <v>8792206.3499999996</v>
      </c>
      <c r="AI89" s="25">
        <f t="shared" si="28"/>
        <v>43789</v>
      </c>
      <c r="AJ89" s="25">
        <f t="shared" si="28"/>
        <v>1875572</v>
      </c>
      <c r="AK89" s="25">
        <f t="shared" si="28"/>
        <v>543909</v>
      </c>
      <c r="AL89" s="304">
        <f t="shared" si="28"/>
        <v>1305848017.8700032</v>
      </c>
      <c r="AM89" s="305">
        <f t="shared" si="28"/>
        <v>3641225465.0599332</v>
      </c>
      <c r="AN89" s="300">
        <f t="shared" si="28"/>
        <v>6230904363.3999205</v>
      </c>
      <c r="AO89" s="303">
        <f t="shared" si="28"/>
        <v>3257788183.1299415</v>
      </c>
      <c r="AP89" s="442"/>
      <c r="AQ89" s="442">
        <f>SUM(AQ4:AQ88)</f>
        <v>5511480718.5599251</v>
      </c>
      <c r="AR89" s="442">
        <f>SUM(AR4:AR88)</f>
        <v>6230904363.3999224</v>
      </c>
      <c r="AS89" s="423">
        <f>SUM(AS4:AS88)</f>
        <v>3.6088749766349792E-9</v>
      </c>
    </row>
    <row r="90" spans="1:45" x14ac:dyDescent="0.25">
      <c r="A90" s="306"/>
      <c r="B90" s="306"/>
      <c r="C90" s="307"/>
      <c r="D90" s="430"/>
      <c r="E90" s="431"/>
      <c r="F90" s="538"/>
      <c r="G90" s="308"/>
      <c r="H90" s="538"/>
      <c r="I90" s="308"/>
      <c r="J90" s="39"/>
      <c r="K90" s="308"/>
      <c r="L90" s="43"/>
      <c r="N90" s="39"/>
      <c r="O90" s="308"/>
      <c r="P90" s="308"/>
      <c r="Q90" s="43"/>
      <c r="R90" s="328"/>
      <c r="S90" s="39"/>
      <c r="T90" s="308"/>
      <c r="U90" s="43"/>
      <c r="V90" s="328"/>
      <c r="W90" s="43"/>
      <c r="X90" s="328"/>
      <c r="Y90" s="43"/>
      <c r="Z90" s="328"/>
      <c r="AA90" s="43"/>
      <c r="AB90" s="328"/>
      <c r="AC90" s="432"/>
      <c r="AD90" s="309"/>
      <c r="AE90" s="432"/>
      <c r="AF90" s="309"/>
      <c r="AG90" s="432"/>
      <c r="AH90" s="309"/>
      <c r="AI90" s="435"/>
      <c r="AJ90" s="435"/>
      <c r="AK90" s="434"/>
      <c r="AL90" s="434"/>
      <c r="AM90" s="435"/>
      <c r="AN90" s="308"/>
      <c r="AO90" s="309"/>
      <c r="AQ90" s="308"/>
      <c r="AR90" s="308"/>
    </row>
    <row r="91" spans="1:45" x14ac:dyDescent="0.25">
      <c r="C91" s="68" t="s">
        <v>178</v>
      </c>
      <c r="D91" s="331">
        <v>3067668105.9399991</v>
      </c>
      <c r="E91" s="308"/>
      <c r="F91" s="39"/>
      <c r="G91" s="308">
        <f>G89+M89+O89+P89-T89</f>
        <v>2530243558.0455341</v>
      </c>
      <c r="H91" s="561">
        <f>H89+J89</f>
        <v>1633519</v>
      </c>
      <c r="I91" s="308"/>
      <c r="J91" s="39"/>
      <c r="K91" s="308"/>
      <c r="L91" s="39"/>
      <c r="M91" s="308">
        <v>0</v>
      </c>
      <c r="N91" s="83">
        <v>4130</v>
      </c>
      <c r="O91" s="331">
        <v>372369281.88</v>
      </c>
      <c r="P91" s="331">
        <v>383437281.90999997</v>
      </c>
      <c r="Q91" s="39"/>
      <c r="R91" s="308">
        <v>0</v>
      </c>
      <c r="S91" s="83">
        <v>2338</v>
      </c>
      <c r="T91" s="331">
        <v>35660039.660000116</v>
      </c>
      <c r="U91" s="83">
        <v>237161</v>
      </c>
      <c r="V91" s="331">
        <v>705568158.38999963</v>
      </c>
      <c r="W91" s="83">
        <v>263289</v>
      </c>
      <c r="X91" s="331">
        <v>346497991.28105968</v>
      </c>
      <c r="Y91" s="83">
        <v>76742</v>
      </c>
      <c r="Z91" s="331">
        <v>106197890.58000313</v>
      </c>
      <c r="AA91" s="83">
        <v>230006</v>
      </c>
      <c r="AB91" s="331">
        <v>494081968.9000001</v>
      </c>
      <c r="AC91" s="83">
        <v>34686</v>
      </c>
      <c r="AD91" s="331">
        <v>116713791.18000001</v>
      </c>
      <c r="AE91" s="83">
        <v>439300</v>
      </c>
      <c r="AF91" s="331">
        <v>593917647.31000018</v>
      </c>
      <c r="AG91" s="83">
        <v>9370</v>
      </c>
      <c r="AH91" s="331">
        <v>8792206.3499999996</v>
      </c>
      <c r="AI91" s="331"/>
      <c r="AJ91" s="331"/>
      <c r="AK91" s="539">
        <v>543909</v>
      </c>
      <c r="AL91" s="540">
        <v>1305848017.8199999</v>
      </c>
      <c r="AM91" s="331">
        <v>3803289692.6899419</v>
      </c>
      <c r="AN91" s="331">
        <v>6230904363.3999224</v>
      </c>
      <c r="AO91" s="331"/>
      <c r="AQ91" s="396"/>
    </row>
    <row r="92" spans="1:45" s="541" customFormat="1" x14ac:dyDescent="0.25">
      <c r="C92" s="542" t="s">
        <v>213</v>
      </c>
      <c r="D92" s="281">
        <f t="shared" ref="D92" si="29">D91-D89</f>
        <v>0</v>
      </c>
      <c r="E92" s="281"/>
      <c r="F92" s="445"/>
      <c r="G92" s="281"/>
      <c r="H92" s="83"/>
      <c r="I92" s="281"/>
      <c r="J92" s="39"/>
      <c r="K92" s="281"/>
      <c r="L92" s="445"/>
      <c r="M92" s="281">
        <f t="shared" ref="M92:AN92" si="30">M91-M89</f>
        <v>-57338308.449999988</v>
      </c>
      <c r="N92" s="445">
        <f t="shared" si="30"/>
        <v>0</v>
      </c>
      <c r="O92" s="281">
        <f t="shared" si="30"/>
        <v>0</v>
      </c>
      <c r="P92" s="281">
        <f>P91-P89</f>
        <v>-1.9990801811218262E-2</v>
      </c>
      <c r="Q92" s="445"/>
      <c r="R92" s="281">
        <f t="shared" si="30"/>
        <v>-420650899.15000027</v>
      </c>
      <c r="S92" s="445">
        <f t="shared" si="30"/>
        <v>0</v>
      </c>
      <c r="T92" s="281">
        <f t="shared" si="30"/>
        <v>0</v>
      </c>
      <c r="U92" s="445">
        <f t="shared" si="30"/>
        <v>0</v>
      </c>
      <c r="V92" s="281">
        <f t="shared" si="30"/>
        <v>0</v>
      </c>
      <c r="W92" s="445">
        <f t="shared" si="30"/>
        <v>0</v>
      </c>
      <c r="X92" s="281">
        <f t="shared" si="30"/>
        <v>1.122891902923584E-3</v>
      </c>
      <c r="Y92" s="445">
        <f t="shared" si="30"/>
        <v>0</v>
      </c>
      <c r="Z92" s="281">
        <f t="shared" si="30"/>
        <v>0</v>
      </c>
      <c r="AA92" s="445">
        <f t="shared" si="30"/>
        <v>0</v>
      </c>
      <c r="AB92" s="281">
        <f t="shared" si="30"/>
        <v>0</v>
      </c>
      <c r="AC92" s="445">
        <f>AC91-AC89</f>
        <v>0</v>
      </c>
      <c r="AD92" s="281">
        <f t="shared" si="30"/>
        <v>0</v>
      </c>
      <c r="AE92" s="445">
        <f t="shared" si="30"/>
        <v>2</v>
      </c>
      <c r="AF92" s="281">
        <f t="shared" si="30"/>
        <v>0</v>
      </c>
      <c r="AG92" s="445">
        <f t="shared" si="30"/>
        <v>0</v>
      </c>
      <c r="AH92" s="281">
        <f t="shared" si="30"/>
        <v>0</v>
      </c>
      <c r="AI92" s="445"/>
      <c r="AJ92" s="445"/>
      <c r="AK92" s="445">
        <f t="shared" si="30"/>
        <v>0</v>
      </c>
      <c r="AL92" s="543">
        <f t="shared" si="30"/>
        <v>-5.0003290176391602E-2</v>
      </c>
      <c r="AM92" s="281"/>
      <c r="AN92" s="543">
        <f t="shared" si="30"/>
        <v>0</v>
      </c>
      <c r="AO92" s="281"/>
      <c r="AQ92" s="544"/>
    </row>
    <row r="93" spans="1:45" x14ac:dyDescent="0.25">
      <c r="D93" s="68" t="s">
        <v>271</v>
      </c>
      <c r="G93" s="281"/>
      <c r="H93" s="445"/>
      <c r="I93" s="281"/>
      <c r="J93" s="445"/>
      <c r="K93" s="281"/>
      <c r="L93" s="604"/>
      <c r="M93" s="604"/>
    </row>
    <row r="94" spans="1:45" x14ac:dyDescent="0.25">
      <c r="G94" s="545"/>
      <c r="I94" s="546"/>
      <c r="K94" s="545"/>
      <c r="AN94" s="155"/>
    </row>
    <row r="96" spans="1:45" x14ac:dyDescent="0.25">
      <c r="D96" s="491">
        <f>D89+E89</f>
        <v>2589678898.3399954</v>
      </c>
    </row>
  </sheetData>
  <mergeCells count="19">
    <mergeCell ref="J1:K1"/>
    <mergeCell ref="A1:A2"/>
    <mergeCell ref="B1:B2"/>
    <mergeCell ref="C1:C2"/>
    <mergeCell ref="F1:G1"/>
    <mergeCell ref="H1:I1"/>
    <mergeCell ref="AG1:AH1"/>
    <mergeCell ref="AI1:AM1"/>
    <mergeCell ref="L1:M1"/>
    <mergeCell ref="N1:O1"/>
    <mergeCell ref="Q1:R1"/>
    <mergeCell ref="S1:T1"/>
    <mergeCell ref="U1:V1"/>
    <mergeCell ref="W1:X1"/>
    <mergeCell ref="L93:M93"/>
    <mergeCell ref="Y1:Z1"/>
    <mergeCell ref="AA1:AB1"/>
    <mergeCell ref="AC1:AD1"/>
    <mergeCell ref="AE1:AF1"/>
  </mergeCells>
  <pageMargins left="0.19685039370078741" right="0.19685039370078741" top="0.19685039370078741" bottom="0.78740157480314965" header="0.23622047244094491" footer="0.47244094488188981"/>
  <pageSetup paperSize="9" scale="45" fitToWidth="2" fitToHeight="2" orientation="landscape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F9D72-1A64-4BDA-8F92-976D3A429F87}">
  <sheetPr filterMode="1">
    <pageSetUpPr fitToPage="1"/>
  </sheetPr>
  <dimension ref="A1:AI82"/>
  <sheetViews>
    <sheetView topLeftCell="A5" zoomScale="91" zoomScaleNormal="91" workbookViewId="0">
      <pane xSplit="3" ySplit="3" topLeftCell="D17" activePane="bottomRight" state="frozen"/>
      <selection activeCell="A5" sqref="A5"/>
      <selection pane="topRight" activeCell="D5" sqref="D5"/>
      <selection pane="bottomLeft" activeCell="A8" sqref="A8"/>
      <selection pane="bottomRight" activeCell="K31" sqref="K31"/>
    </sheetView>
  </sheetViews>
  <sheetFormatPr defaultColWidth="9.140625" defaultRowHeight="21.75" customHeight="1" x14ac:dyDescent="0.25"/>
  <cols>
    <col min="1" max="1" width="8.140625" style="202" customWidth="1"/>
    <col min="2" max="2" width="8" style="202" customWidth="1"/>
    <col min="3" max="3" width="35.28515625" style="68" customWidth="1"/>
    <col min="4" max="4" width="10.140625" style="236" bestFit="1" customWidth="1"/>
    <col min="5" max="5" width="16.140625" style="392" customWidth="1"/>
    <col min="6" max="6" width="6.140625" style="68" bestFit="1" customWidth="1"/>
    <col min="7" max="7" width="15.28515625" style="68" bestFit="1" customWidth="1"/>
    <col min="8" max="8" width="11.28515625" style="68" bestFit="1" customWidth="1"/>
    <col min="9" max="9" width="6.140625" style="68" bestFit="1" customWidth="1"/>
    <col min="10" max="10" width="9" style="68" bestFit="1" customWidth="1"/>
    <col min="11" max="11" width="12.28515625" style="236" customWidth="1"/>
    <col min="12" max="12" width="14.28515625" style="392" bestFit="1" customWidth="1"/>
    <col min="13" max="13" width="10.7109375" style="68" customWidth="1"/>
    <col min="14" max="14" width="11.28515625" style="68" customWidth="1"/>
    <col min="15" max="15" width="9" style="68" bestFit="1" customWidth="1"/>
    <col min="16" max="16" width="10.7109375" style="68" customWidth="1"/>
    <col min="17" max="17" width="10.140625" style="68" bestFit="1" customWidth="1"/>
    <col min="18" max="18" width="11.5703125" style="68" customWidth="1"/>
    <col min="19" max="19" width="10.140625" style="68" bestFit="1" customWidth="1"/>
    <col min="20" max="20" width="11.28515625" style="68" bestFit="1" customWidth="1"/>
    <col min="21" max="21" width="6.140625" style="393" bestFit="1" customWidth="1"/>
    <col min="22" max="22" width="11.5703125" style="68" customWidth="1"/>
    <col min="23" max="23" width="11.7109375" style="68" customWidth="1"/>
    <col min="24" max="24" width="11.140625" style="394" customWidth="1"/>
    <col min="25" max="25" width="14.85546875" style="395" customWidth="1"/>
    <col min="26" max="26" width="13.28515625" style="68" customWidth="1"/>
    <col min="27" max="27" width="11.140625" style="68" customWidth="1"/>
    <col min="28" max="30" width="9.140625" style="68"/>
    <col min="31" max="31" width="14.5703125" style="68" customWidth="1"/>
    <col min="32" max="32" width="9.140625" style="68"/>
    <col min="33" max="33" width="10" style="68" bestFit="1" customWidth="1"/>
    <col min="34" max="34" width="9.140625" style="68"/>
    <col min="35" max="35" width="14.7109375" style="68" customWidth="1"/>
    <col min="36" max="16384" width="9.140625" style="68"/>
  </cols>
  <sheetData>
    <row r="1" spans="1:33" ht="17.25" hidden="1" customHeight="1" x14ac:dyDescent="0.25">
      <c r="A1" s="200"/>
      <c r="B1" s="200"/>
      <c r="C1" s="350"/>
      <c r="D1" s="350"/>
      <c r="E1" s="351"/>
      <c r="F1" s="118"/>
      <c r="G1" s="118"/>
      <c r="H1" s="118"/>
      <c r="I1" s="118"/>
      <c r="J1" s="118"/>
      <c r="K1" s="350"/>
      <c r="L1" s="351"/>
      <c r="M1" s="118"/>
      <c r="N1" s="118"/>
      <c r="O1" s="118"/>
      <c r="P1" s="118"/>
      <c r="Q1" s="118"/>
      <c r="R1" s="118"/>
      <c r="S1" s="118"/>
      <c r="T1" s="118"/>
      <c r="U1" s="352"/>
      <c r="V1" s="118"/>
      <c r="W1" s="118"/>
      <c r="X1" s="353"/>
      <c r="Y1" s="354" t="s">
        <v>225</v>
      </c>
    </row>
    <row r="2" spans="1:33" ht="17.25" hidden="1" customHeight="1" x14ac:dyDescent="0.25">
      <c r="A2" s="200"/>
      <c r="B2" s="200"/>
      <c r="C2" s="118"/>
      <c r="D2" s="350"/>
      <c r="E2" s="351"/>
      <c r="F2" s="118"/>
      <c r="G2" s="118"/>
      <c r="H2" s="118"/>
      <c r="I2" s="118"/>
      <c r="J2" s="118"/>
      <c r="K2" s="350"/>
      <c r="L2" s="351"/>
      <c r="M2" s="118"/>
      <c r="N2" s="118"/>
      <c r="O2" s="118"/>
      <c r="P2" s="118"/>
      <c r="Q2" s="118"/>
      <c r="R2" s="118"/>
      <c r="S2" s="118"/>
      <c r="T2" s="118"/>
      <c r="U2" s="352"/>
      <c r="V2" s="118"/>
      <c r="W2" s="118"/>
      <c r="X2" s="353"/>
      <c r="Y2" s="354" t="s">
        <v>226</v>
      </c>
    </row>
    <row r="3" spans="1:33" ht="17.25" hidden="1" customHeight="1" x14ac:dyDescent="0.25">
      <c r="A3" s="200"/>
      <c r="B3" s="200"/>
      <c r="C3" s="118"/>
      <c r="D3" s="350"/>
      <c r="E3" s="351"/>
      <c r="F3" s="118"/>
      <c r="G3" s="118"/>
      <c r="H3" s="118"/>
      <c r="I3" s="118"/>
      <c r="J3" s="118"/>
      <c r="K3" s="350"/>
      <c r="L3" s="351"/>
      <c r="M3" s="118"/>
      <c r="N3" s="118"/>
      <c r="O3" s="118"/>
      <c r="P3" s="118"/>
      <c r="Q3" s="118"/>
      <c r="R3" s="118"/>
      <c r="S3" s="118"/>
      <c r="T3" s="118"/>
      <c r="U3" s="352"/>
      <c r="V3" s="118"/>
      <c r="W3" s="118"/>
      <c r="X3" s="353"/>
      <c r="Y3" s="354" t="s">
        <v>227</v>
      </c>
    </row>
    <row r="4" spans="1:33" ht="26.25" hidden="1" customHeight="1" x14ac:dyDescent="0.25">
      <c r="A4" s="355" t="s">
        <v>183</v>
      </c>
      <c r="B4" s="204"/>
      <c r="C4" s="356"/>
      <c r="D4" s="356"/>
      <c r="E4" s="357"/>
      <c r="F4" s="356"/>
      <c r="G4" s="356"/>
      <c r="H4" s="204"/>
      <c r="I4" s="356"/>
      <c r="J4" s="356"/>
      <c r="K4" s="356"/>
      <c r="L4" s="357"/>
      <c r="M4" s="356"/>
      <c r="N4" s="356"/>
      <c r="O4" s="356"/>
      <c r="P4" s="356"/>
      <c r="Q4" s="356"/>
      <c r="R4" s="356"/>
      <c r="S4" s="356"/>
      <c r="T4" s="356"/>
      <c r="U4" s="358"/>
      <c r="V4" s="356"/>
      <c r="W4" s="356"/>
      <c r="X4" s="357"/>
      <c r="Y4" s="357"/>
    </row>
    <row r="5" spans="1:33" ht="21.75" customHeight="1" x14ac:dyDescent="0.25">
      <c r="A5" s="398"/>
      <c r="B5" s="399">
        <v>1</v>
      </c>
      <c r="C5" s="202">
        <v>2</v>
      </c>
      <c r="D5" s="202">
        <v>3</v>
      </c>
      <c r="E5" s="399">
        <v>4</v>
      </c>
      <c r="F5" s="202">
        <v>5</v>
      </c>
      <c r="G5" s="202">
        <v>6</v>
      </c>
      <c r="H5" s="399">
        <v>7</v>
      </c>
      <c r="I5" s="202">
        <v>8</v>
      </c>
      <c r="J5" s="202">
        <v>9</v>
      </c>
      <c r="K5" s="399">
        <v>10</v>
      </c>
      <c r="L5" s="202">
        <v>11</v>
      </c>
      <c r="M5" s="202">
        <v>12</v>
      </c>
      <c r="N5" s="399">
        <v>13</v>
      </c>
      <c r="O5" s="202">
        <v>14</v>
      </c>
      <c r="P5" s="202">
        <v>15</v>
      </c>
      <c r="Q5" s="399">
        <v>16</v>
      </c>
      <c r="R5" s="202">
        <v>17</v>
      </c>
      <c r="S5" s="202">
        <v>18</v>
      </c>
      <c r="T5" s="399">
        <v>19</v>
      </c>
      <c r="U5" s="202">
        <v>20</v>
      </c>
      <c r="V5" s="202">
        <v>21</v>
      </c>
      <c r="W5" s="399">
        <v>22</v>
      </c>
      <c r="X5" s="202">
        <v>23</v>
      </c>
      <c r="Y5" s="202">
        <v>24</v>
      </c>
      <c r="Z5" s="202">
        <v>25</v>
      </c>
      <c r="AA5" s="202">
        <v>26</v>
      </c>
      <c r="AB5" s="202">
        <v>27</v>
      </c>
      <c r="AC5" s="202">
        <v>28</v>
      </c>
      <c r="AD5" s="202">
        <v>29</v>
      </c>
      <c r="AE5" s="202">
        <v>30</v>
      </c>
      <c r="AF5" s="202">
        <v>31</v>
      </c>
      <c r="AG5" s="202">
        <v>32</v>
      </c>
    </row>
    <row r="6" spans="1:33" ht="48" customHeight="1" x14ac:dyDescent="0.25">
      <c r="A6" s="596" t="s">
        <v>4</v>
      </c>
      <c r="B6" s="597" t="s">
        <v>5</v>
      </c>
      <c r="C6" s="598" t="s">
        <v>6</v>
      </c>
      <c r="D6" s="592" t="s">
        <v>7</v>
      </c>
      <c r="E6" s="593"/>
      <c r="F6" s="591" t="s">
        <v>8</v>
      </c>
      <c r="G6" s="591"/>
      <c r="H6" s="359" t="s">
        <v>186</v>
      </c>
      <c r="I6" s="591" t="s">
        <v>187</v>
      </c>
      <c r="J6" s="591"/>
      <c r="K6" s="592" t="s">
        <v>9</v>
      </c>
      <c r="L6" s="593"/>
      <c r="M6" s="594" t="s">
        <v>189</v>
      </c>
      <c r="N6" s="595"/>
      <c r="O6" s="591" t="s">
        <v>167</v>
      </c>
      <c r="P6" s="591"/>
      <c r="Q6" s="594" t="s">
        <v>190</v>
      </c>
      <c r="R6" s="595"/>
      <c r="S6" s="594" t="s">
        <v>191</v>
      </c>
      <c r="T6" s="595"/>
      <c r="U6" s="602" t="s">
        <v>261</v>
      </c>
      <c r="V6" s="602"/>
      <c r="W6" s="592" t="s">
        <v>10</v>
      </c>
      <c r="X6" s="593"/>
      <c r="Y6" s="603" t="s">
        <v>11</v>
      </c>
      <c r="AB6" s="599" t="s">
        <v>235</v>
      </c>
      <c r="AC6" s="599"/>
      <c r="AD6" s="600" t="s">
        <v>236</v>
      </c>
      <c r="AE6" s="601"/>
      <c r="AF6" s="599" t="s">
        <v>234</v>
      </c>
      <c r="AG6" s="599"/>
    </row>
    <row r="7" spans="1:33" ht="34.5" customHeight="1" x14ac:dyDescent="0.25">
      <c r="A7" s="596"/>
      <c r="B7" s="597"/>
      <c r="C7" s="598"/>
      <c r="D7" s="343" t="s">
        <v>12</v>
      </c>
      <c r="E7" s="360" t="s">
        <v>13</v>
      </c>
      <c r="F7" s="343" t="s">
        <v>12</v>
      </c>
      <c r="G7" s="343" t="s">
        <v>13</v>
      </c>
      <c r="H7" s="98" t="s">
        <v>13</v>
      </c>
      <c r="I7" s="343" t="s">
        <v>12</v>
      </c>
      <c r="J7" s="343" t="s">
        <v>13</v>
      </c>
      <c r="K7" s="343" t="s">
        <v>12</v>
      </c>
      <c r="L7" s="343" t="s">
        <v>13</v>
      </c>
      <c r="M7" s="343" t="s">
        <v>12</v>
      </c>
      <c r="N7" s="343" t="s">
        <v>13</v>
      </c>
      <c r="O7" s="145" t="s">
        <v>12</v>
      </c>
      <c r="P7" s="145" t="s">
        <v>13</v>
      </c>
      <c r="Q7" s="343" t="s">
        <v>12</v>
      </c>
      <c r="R7" s="343" t="s">
        <v>13</v>
      </c>
      <c r="S7" s="343" t="s">
        <v>12</v>
      </c>
      <c r="T7" s="343" t="s">
        <v>13</v>
      </c>
      <c r="U7" s="145" t="s">
        <v>12</v>
      </c>
      <c r="V7" s="145" t="s">
        <v>13</v>
      </c>
      <c r="W7" s="343" t="s">
        <v>12</v>
      </c>
      <c r="X7" s="343" t="s">
        <v>13</v>
      </c>
      <c r="Y7" s="603"/>
      <c r="AB7" s="145" t="s">
        <v>12</v>
      </c>
      <c r="AC7" s="145" t="s">
        <v>13</v>
      </c>
      <c r="AD7" s="145" t="s">
        <v>12</v>
      </c>
      <c r="AE7" s="145" t="s">
        <v>13</v>
      </c>
      <c r="AF7" s="145" t="s">
        <v>12</v>
      </c>
      <c r="AG7" s="145" t="s">
        <v>13</v>
      </c>
    </row>
    <row r="8" spans="1:33" ht="15" hidden="1" customHeight="1" x14ac:dyDescent="0.25">
      <c r="A8" s="5">
        <v>1</v>
      </c>
      <c r="B8" s="5">
        <v>390930</v>
      </c>
      <c r="C8" s="6" t="s">
        <v>180</v>
      </c>
      <c r="D8" s="299">
        <v>0</v>
      </c>
      <c r="E8" s="340">
        <v>0</v>
      </c>
      <c r="F8" s="96"/>
      <c r="G8" s="97"/>
      <c r="H8" s="436">
        <v>0</v>
      </c>
      <c r="I8" s="97"/>
      <c r="J8" s="97"/>
      <c r="K8" s="101">
        <v>21707</v>
      </c>
      <c r="L8" s="341">
        <v>6834.0148099999997</v>
      </c>
      <c r="M8" s="96">
        <v>0</v>
      </c>
      <c r="N8" s="97">
        <v>0</v>
      </c>
      <c r="O8" s="96">
        <v>0</v>
      </c>
      <c r="P8" s="97">
        <v>0</v>
      </c>
      <c r="Q8" s="96">
        <v>0</v>
      </c>
      <c r="R8" s="97">
        <v>0</v>
      </c>
      <c r="S8" s="96">
        <v>0</v>
      </c>
      <c r="T8" s="97">
        <v>0</v>
      </c>
      <c r="U8" s="96"/>
      <c r="V8" s="97"/>
      <c r="W8" s="101">
        <v>0</v>
      </c>
      <c r="X8" s="341">
        <v>0</v>
      </c>
      <c r="Y8" s="411">
        <f t="shared" ref="Y8:Y71" si="0">E8+L8+X8+V8</f>
        <v>6834.0148099999997</v>
      </c>
      <c r="Z8" s="318">
        <f>VLOOKUP(B8,'АПП+Стомат._план'!$B$4:$AQ$89,42,FALSE)/1000</f>
        <v>15202.192499999999</v>
      </c>
      <c r="AA8" s="401">
        <f t="shared" ref="AA8:AA71" si="1">Y8-Z8</f>
        <v>-8368.1776900000004</v>
      </c>
      <c r="AB8" s="96"/>
      <c r="AC8" s="97"/>
      <c r="AD8" s="96"/>
      <c r="AE8" s="97"/>
      <c r="AF8" s="96"/>
      <c r="AG8" s="97"/>
    </row>
    <row r="9" spans="1:33" ht="15" hidden="1" customHeight="1" x14ac:dyDescent="0.25">
      <c r="A9" s="5">
        <v>2</v>
      </c>
      <c r="B9" s="5">
        <v>390800</v>
      </c>
      <c r="C9" s="6" t="s">
        <v>89</v>
      </c>
      <c r="D9" s="299">
        <v>1300</v>
      </c>
      <c r="E9" s="340">
        <v>33185.333500000008</v>
      </c>
      <c r="F9" s="98"/>
      <c r="G9" s="98"/>
      <c r="H9" s="436">
        <v>0</v>
      </c>
      <c r="I9" s="98"/>
      <c r="J9" s="97"/>
      <c r="K9" s="101">
        <v>66192</v>
      </c>
      <c r="L9" s="341">
        <v>20839.227360000001</v>
      </c>
      <c r="M9" s="96">
        <v>0</v>
      </c>
      <c r="N9" s="97">
        <v>0</v>
      </c>
      <c r="O9" s="96">
        <v>0</v>
      </c>
      <c r="P9" s="97">
        <v>0</v>
      </c>
      <c r="Q9" s="96">
        <v>0</v>
      </c>
      <c r="R9" s="97">
        <v>0</v>
      </c>
      <c r="S9" s="96">
        <v>0</v>
      </c>
      <c r="T9" s="97">
        <v>0</v>
      </c>
      <c r="U9" s="96"/>
      <c r="V9" s="97"/>
      <c r="W9" s="101">
        <v>30147</v>
      </c>
      <c r="X9" s="341">
        <v>35826.095231627602</v>
      </c>
      <c r="Y9" s="411">
        <f t="shared" si="0"/>
        <v>89850.656091627607</v>
      </c>
      <c r="Z9" s="318">
        <f>VLOOKUP(B9,'АПП+Стомат._план'!$B$4:$AQ$89,42,FALSE)/1000</f>
        <v>80595.743919999994</v>
      </c>
      <c r="AA9" s="401">
        <f t="shared" si="1"/>
        <v>9254.9121716276131</v>
      </c>
      <c r="AB9" s="96"/>
      <c r="AC9" s="97"/>
      <c r="AD9" s="96"/>
      <c r="AE9" s="97"/>
      <c r="AF9" s="96"/>
      <c r="AG9" s="97"/>
    </row>
    <row r="10" spans="1:33" ht="15" hidden="1" customHeight="1" x14ac:dyDescent="0.25">
      <c r="A10" s="5">
        <v>3</v>
      </c>
      <c r="B10" s="5">
        <v>391100</v>
      </c>
      <c r="C10" s="6" t="s">
        <v>103</v>
      </c>
      <c r="D10" s="299">
        <v>0</v>
      </c>
      <c r="E10" s="340">
        <v>14476.7088</v>
      </c>
      <c r="F10" s="98"/>
      <c r="G10" s="98"/>
      <c r="H10" s="436">
        <v>28661.360000000001</v>
      </c>
      <c r="I10" s="98"/>
      <c r="J10" s="97"/>
      <c r="K10" s="101">
        <v>2828</v>
      </c>
      <c r="L10" s="341">
        <v>890.33924000000002</v>
      </c>
      <c r="M10" s="96">
        <v>0</v>
      </c>
      <c r="N10" s="97">
        <v>0</v>
      </c>
      <c r="O10" s="96">
        <v>0</v>
      </c>
      <c r="P10" s="97">
        <v>0</v>
      </c>
      <c r="Q10" s="96">
        <v>0</v>
      </c>
      <c r="R10" s="97">
        <v>0</v>
      </c>
      <c r="S10" s="96">
        <v>0</v>
      </c>
      <c r="T10" s="97">
        <v>0</v>
      </c>
      <c r="U10" s="96"/>
      <c r="V10" s="97"/>
      <c r="W10" s="101">
        <v>0</v>
      </c>
      <c r="X10" s="341">
        <v>0</v>
      </c>
      <c r="Y10" s="411">
        <f t="shared" si="0"/>
        <v>15367.04804</v>
      </c>
      <c r="Z10" s="318">
        <f>VLOOKUP(B10,'АПП+Стомат._план'!$B$4:$AQ$89,42,FALSE)/1000</f>
        <v>32048.128769999999</v>
      </c>
      <c r="AA10" s="401">
        <f t="shared" si="1"/>
        <v>-16681.080730000001</v>
      </c>
      <c r="AB10" s="96"/>
      <c r="AC10" s="97"/>
      <c r="AD10" s="96"/>
      <c r="AE10" s="97"/>
      <c r="AF10" s="96"/>
      <c r="AG10" s="97"/>
    </row>
    <row r="11" spans="1:33" ht="15" hidden="1" customHeight="1" x14ac:dyDescent="0.25">
      <c r="A11" s="5">
        <v>4</v>
      </c>
      <c r="B11" s="5">
        <v>390470</v>
      </c>
      <c r="C11" s="6" t="s">
        <v>88</v>
      </c>
      <c r="D11" s="299">
        <v>10200</v>
      </c>
      <c r="E11" s="340">
        <v>166429.54190000001</v>
      </c>
      <c r="F11" s="98"/>
      <c r="G11" s="98"/>
      <c r="H11" s="436">
        <v>0</v>
      </c>
      <c r="I11" s="98"/>
      <c r="J11" s="97"/>
      <c r="K11" s="101">
        <v>192460</v>
      </c>
      <c r="L11" s="341">
        <v>60592.181799999998</v>
      </c>
      <c r="M11" s="96">
        <v>0</v>
      </c>
      <c r="N11" s="97">
        <v>0</v>
      </c>
      <c r="O11" s="96">
        <v>0</v>
      </c>
      <c r="P11" s="97">
        <v>0</v>
      </c>
      <c r="Q11" s="96">
        <v>0</v>
      </c>
      <c r="R11" s="97">
        <v>0</v>
      </c>
      <c r="S11" s="96">
        <v>0</v>
      </c>
      <c r="T11" s="97">
        <v>0</v>
      </c>
      <c r="U11" s="96"/>
      <c r="V11" s="97"/>
      <c r="W11" s="101">
        <v>0</v>
      </c>
      <c r="X11" s="341">
        <v>0</v>
      </c>
      <c r="Y11" s="411">
        <f t="shared" si="0"/>
        <v>227021.7237</v>
      </c>
      <c r="Z11" s="318">
        <f>VLOOKUP(B11,'АПП+Стомат._план'!$B$4:$AQ$89,42,FALSE)/1000</f>
        <v>144282.24334999998</v>
      </c>
      <c r="AA11" s="401">
        <f t="shared" si="1"/>
        <v>82739.480350000027</v>
      </c>
      <c r="AB11" s="96"/>
      <c r="AC11" s="97"/>
      <c r="AD11" s="96"/>
      <c r="AE11" s="97"/>
      <c r="AF11" s="96"/>
      <c r="AG11" s="97"/>
    </row>
    <row r="12" spans="1:33" ht="15" hidden="1" customHeight="1" x14ac:dyDescent="0.25">
      <c r="A12" s="5">
        <v>5</v>
      </c>
      <c r="B12" s="5">
        <v>390762</v>
      </c>
      <c r="C12" s="6" t="s">
        <v>111</v>
      </c>
      <c r="D12" s="299">
        <v>0</v>
      </c>
      <c r="E12" s="340">
        <v>0</v>
      </c>
      <c r="F12" s="98"/>
      <c r="G12" s="98"/>
      <c r="H12" s="436">
        <v>0</v>
      </c>
      <c r="I12" s="98"/>
      <c r="J12" s="97"/>
      <c r="K12" s="101">
        <v>1216</v>
      </c>
      <c r="L12" s="341">
        <v>382.83327999999892</v>
      </c>
      <c r="M12" s="96">
        <v>0</v>
      </c>
      <c r="N12" s="97">
        <v>0</v>
      </c>
      <c r="O12" s="96">
        <v>0</v>
      </c>
      <c r="P12" s="97">
        <v>0</v>
      </c>
      <c r="Q12" s="96">
        <v>0</v>
      </c>
      <c r="R12" s="97">
        <v>0</v>
      </c>
      <c r="S12" s="96">
        <v>0</v>
      </c>
      <c r="T12" s="97">
        <v>0</v>
      </c>
      <c r="U12" s="499">
        <f>1444-300</f>
        <v>1144</v>
      </c>
      <c r="V12" s="408">
        <f>28735.1267-3809</f>
        <v>24926.126700000001</v>
      </c>
      <c r="W12" s="101">
        <v>0</v>
      </c>
      <c r="X12" s="341">
        <v>0</v>
      </c>
      <c r="Y12" s="411">
        <f t="shared" si="0"/>
        <v>25308.95998</v>
      </c>
      <c r="Z12" s="318">
        <f>VLOOKUP(B12,'АПП+Стомат._план'!$B$4:$AQ$89,42,FALSE)/1000</f>
        <v>26462.165780000003</v>
      </c>
      <c r="AA12" s="401">
        <f t="shared" si="1"/>
        <v>-1153.2058000000034</v>
      </c>
      <c r="AB12" s="96">
        <v>115</v>
      </c>
      <c r="AC12" s="97">
        <v>2404.1325000000002</v>
      </c>
      <c r="AD12" s="96">
        <v>63</v>
      </c>
      <c r="AE12" s="97">
        <v>1322.2728750000001</v>
      </c>
      <c r="AF12" s="96">
        <v>300</v>
      </c>
      <c r="AG12" s="97">
        <v>278.09257000000002</v>
      </c>
    </row>
    <row r="13" spans="1:33" ht="15" hidden="1" customHeight="1" x14ac:dyDescent="0.25">
      <c r="A13" s="5">
        <v>6</v>
      </c>
      <c r="B13" s="5">
        <v>390050</v>
      </c>
      <c r="C13" s="6" t="s">
        <v>98</v>
      </c>
      <c r="D13" s="299">
        <v>25500</v>
      </c>
      <c r="E13" s="340">
        <v>37825.335000000006</v>
      </c>
      <c r="F13" s="98"/>
      <c r="G13" s="98"/>
      <c r="H13" s="436">
        <v>6510</v>
      </c>
      <c r="I13" s="98"/>
      <c r="J13" s="97"/>
      <c r="K13" s="101">
        <v>51556</v>
      </c>
      <c r="L13" s="341">
        <v>16231.375480000001</v>
      </c>
      <c r="M13" s="96">
        <v>0</v>
      </c>
      <c r="N13" s="97">
        <v>0</v>
      </c>
      <c r="O13" s="96">
        <v>0</v>
      </c>
      <c r="P13" s="97">
        <v>0</v>
      </c>
      <c r="Q13" s="96">
        <v>0</v>
      </c>
      <c r="R13" s="97">
        <v>0</v>
      </c>
      <c r="S13" s="96">
        <v>0</v>
      </c>
      <c r="T13" s="97">
        <v>0</v>
      </c>
      <c r="U13" s="96"/>
      <c r="V13" s="97"/>
      <c r="W13" s="101">
        <v>0</v>
      </c>
      <c r="X13" s="341">
        <v>0</v>
      </c>
      <c r="Y13" s="411">
        <f t="shared" si="0"/>
        <v>54056.710480000009</v>
      </c>
      <c r="Z13" s="318">
        <f>VLOOKUP(B13,'АПП+Стомат._план'!$B$4:$AQ$89,42,FALSE)/1000</f>
        <v>60350.078770000007</v>
      </c>
      <c r="AA13" s="401">
        <f t="shared" si="1"/>
        <v>-6293.3682899999985</v>
      </c>
      <c r="AB13" s="96"/>
      <c r="AC13" s="97"/>
      <c r="AD13" s="96"/>
      <c r="AE13" s="97"/>
      <c r="AF13" s="96"/>
      <c r="AG13" s="97"/>
    </row>
    <row r="14" spans="1:33" ht="15" hidden="1" customHeight="1" x14ac:dyDescent="0.25">
      <c r="A14" s="5">
        <v>7</v>
      </c>
      <c r="B14" s="5">
        <v>390070</v>
      </c>
      <c r="C14" s="6" t="s">
        <v>87</v>
      </c>
      <c r="D14" s="299">
        <v>0</v>
      </c>
      <c r="E14" s="340">
        <v>55543.8557</v>
      </c>
      <c r="F14" s="98"/>
      <c r="G14" s="98"/>
      <c r="H14" s="436">
        <v>0</v>
      </c>
      <c r="I14" s="98"/>
      <c r="J14" s="97"/>
      <c r="K14" s="101">
        <v>0</v>
      </c>
      <c r="L14" s="341">
        <v>0</v>
      </c>
      <c r="M14" s="96">
        <v>0</v>
      </c>
      <c r="N14" s="97">
        <v>0</v>
      </c>
      <c r="O14" s="96">
        <v>0</v>
      </c>
      <c r="P14" s="97">
        <v>0</v>
      </c>
      <c r="Q14" s="96">
        <v>0</v>
      </c>
      <c r="R14" s="97">
        <v>0</v>
      </c>
      <c r="S14" s="96">
        <v>0</v>
      </c>
      <c r="T14" s="97">
        <v>0</v>
      </c>
      <c r="U14" s="96"/>
      <c r="V14" s="97"/>
      <c r="W14" s="101">
        <v>52000</v>
      </c>
      <c r="X14" s="341">
        <v>61796.28</v>
      </c>
      <c r="Y14" s="411">
        <f t="shared" si="0"/>
        <v>117340.1357</v>
      </c>
      <c r="Z14" s="318">
        <f>VLOOKUP(B14,'АПП+Стомат._план'!$B$4:$AQ$89,42,FALSE)/1000</f>
        <v>121085.97696</v>
      </c>
      <c r="AA14" s="401">
        <f t="shared" si="1"/>
        <v>-3745.8412600000011</v>
      </c>
      <c r="AB14" s="96"/>
      <c r="AC14" s="97"/>
      <c r="AD14" s="96"/>
      <c r="AE14" s="97"/>
      <c r="AF14" s="96"/>
      <c r="AG14" s="97"/>
    </row>
    <row r="15" spans="1:33" ht="15" hidden="1" customHeight="1" x14ac:dyDescent="0.25">
      <c r="A15" s="5">
        <v>8</v>
      </c>
      <c r="B15" s="5">
        <v>390520</v>
      </c>
      <c r="C15" s="6" t="s">
        <v>264</v>
      </c>
      <c r="D15" s="299">
        <v>0</v>
      </c>
      <c r="E15" s="340">
        <v>0</v>
      </c>
      <c r="F15" s="98"/>
      <c r="G15" s="98"/>
      <c r="H15" s="436">
        <v>0</v>
      </c>
      <c r="I15" s="98"/>
      <c r="J15" s="97"/>
      <c r="K15" s="101">
        <v>0</v>
      </c>
      <c r="L15" s="341">
        <v>0</v>
      </c>
      <c r="M15" s="96">
        <v>0</v>
      </c>
      <c r="N15" s="97">
        <v>0</v>
      </c>
      <c r="O15" s="96">
        <v>0</v>
      </c>
      <c r="P15" s="97">
        <v>0</v>
      </c>
      <c r="Q15" s="96">
        <v>0</v>
      </c>
      <c r="R15" s="97">
        <v>0</v>
      </c>
      <c r="S15" s="96">
        <v>0</v>
      </c>
      <c r="T15" s="97">
        <v>0</v>
      </c>
      <c r="U15" s="96"/>
      <c r="V15" s="97"/>
      <c r="W15" s="101">
        <v>55600</v>
      </c>
      <c r="X15" s="341">
        <v>37296.480000000003</v>
      </c>
      <c r="Y15" s="411">
        <f t="shared" si="0"/>
        <v>37296.480000000003</v>
      </c>
      <c r="Z15" s="318">
        <f>VLOOKUP(B15,'АПП+Стомат._план'!$B$4:$AQ$89,42,FALSE)/1000</f>
        <v>67742.750400000004</v>
      </c>
      <c r="AA15" s="401">
        <f t="shared" si="1"/>
        <v>-30446.270400000001</v>
      </c>
      <c r="AB15" s="96"/>
      <c r="AC15" s="97"/>
      <c r="AD15" s="101"/>
      <c r="AE15" s="217"/>
      <c r="AF15" s="96"/>
      <c r="AG15" s="97"/>
    </row>
    <row r="16" spans="1:33" ht="15" hidden="1" customHeight="1" x14ac:dyDescent="0.25">
      <c r="A16" s="5">
        <v>9</v>
      </c>
      <c r="B16" s="5">
        <v>390130</v>
      </c>
      <c r="C16" s="6" t="s">
        <v>113</v>
      </c>
      <c r="D16" s="299">
        <v>5017</v>
      </c>
      <c r="E16" s="340">
        <v>6643.9629299999997</v>
      </c>
      <c r="F16" s="98"/>
      <c r="G16" s="98"/>
      <c r="H16" s="436">
        <v>0</v>
      </c>
      <c r="I16" s="98"/>
      <c r="J16" s="97"/>
      <c r="K16" s="101">
        <v>70841</v>
      </c>
      <c r="L16" s="341">
        <v>22302.872030000002</v>
      </c>
      <c r="M16" s="96">
        <v>0</v>
      </c>
      <c r="N16" s="97">
        <v>0</v>
      </c>
      <c r="O16" s="96">
        <v>0</v>
      </c>
      <c r="P16" s="97">
        <v>0</v>
      </c>
      <c r="Q16" s="96">
        <v>0</v>
      </c>
      <c r="R16" s="97">
        <v>0</v>
      </c>
      <c r="S16" s="96">
        <v>0</v>
      </c>
      <c r="T16" s="97">
        <v>0</v>
      </c>
      <c r="U16" s="96"/>
      <c r="V16" s="97"/>
      <c r="W16" s="101">
        <v>0</v>
      </c>
      <c r="X16" s="341">
        <v>0</v>
      </c>
      <c r="Y16" s="411">
        <f t="shared" si="0"/>
        <v>28946.83496</v>
      </c>
      <c r="Z16" s="318">
        <f>VLOOKUP(B16,'АПП+Стомат._план'!$B$4:$AQ$89,42,FALSE)/1000</f>
        <v>36294.085049999994</v>
      </c>
      <c r="AA16" s="401">
        <f t="shared" si="1"/>
        <v>-7347.2500899999941</v>
      </c>
      <c r="AB16" s="96"/>
      <c r="AC16" s="97"/>
      <c r="AD16" s="96"/>
      <c r="AE16" s="97"/>
      <c r="AF16" s="96"/>
      <c r="AG16" s="97"/>
    </row>
    <row r="17" spans="1:35" ht="15" hidden="1" customHeight="1" x14ac:dyDescent="0.25">
      <c r="A17" s="5">
        <v>10</v>
      </c>
      <c r="B17" s="5">
        <v>390680</v>
      </c>
      <c r="C17" s="6" t="s">
        <v>114</v>
      </c>
      <c r="D17" s="299">
        <v>12356</v>
      </c>
      <c r="E17" s="340">
        <v>16362.927240000001</v>
      </c>
      <c r="F17" s="98"/>
      <c r="G17" s="98"/>
      <c r="H17" s="436">
        <v>0</v>
      </c>
      <c r="I17" s="98"/>
      <c r="J17" s="97"/>
      <c r="K17" s="101">
        <v>79061</v>
      </c>
      <c r="L17" s="341">
        <v>24890.77463</v>
      </c>
      <c r="M17" s="96">
        <v>0</v>
      </c>
      <c r="N17" s="97">
        <v>0</v>
      </c>
      <c r="O17" s="96">
        <v>0</v>
      </c>
      <c r="P17" s="97">
        <v>0</v>
      </c>
      <c r="Q17" s="96">
        <v>0</v>
      </c>
      <c r="R17" s="97">
        <v>0</v>
      </c>
      <c r="S17" s="96">
        <v>0</v>
      </c>
      <c r="T17" s="97">
        <v>0</v>
      </c>
      <c r="U17" s="96"/>
      <c r="V17" s="97"/>
      <c r="W17" s="101">
        <v>0</v>
      </c>
      <c r="X17" s="341">
        <v>0</v>
      </c>
      <c r="Y17" s="411">
        <f t="shared" si="0"/>
        <v>41253.701870000004</v>
      </c>
      <c r="Z17" s="318">
        <f>VLOOKUP(B17,'АПП+Стомат._план'!$B$4:$AQ$89,42,FALSE)/1000</f>
        <v>49166.876320000003</v>
      </c>
      <c r="AA17" s="401">
        <f t="shared" si="1"/>
        <v>-7913.1744499999986</v>
      </c>
      <c r="AB17" s="96"/>
      <c r="AC17" s="97"/>
      <c r="AD17" s="96"/>
      <c r="AE17" s="97"/>
      <c r="AF17" s="96"/>
      <c r="AG17" s="97"/>
    </row>
    <row r="18" spans="1:35" ht="15" hidden="1" customHeight="1" x14ac:dyDescent="0.25">
      <c r="A18" s="5">
        <v>11</v>
      </c>
      <c r="B18" s="5">
        <v>390700</v>
      </c>
      <c r="C18" s="6" t="s">
        <v>115</v>
      </c>
      <c r="D18" s="299">
        <v>590</v>
      </c>
      <c r="E18" s="340">
        <v>781.33109999999999</v>
      </c>
      <c r="F18" s="98"/>
      <c r="G18" s="98"/>
      <c r="H18" s="436">
        <v>0</v>
      </c>
      <c r="I18" s="98"/>
      <c r="J18" s="97"/>
      <c r="K18" s="101">
        <v>1800</v>
      </c>
      <c r="L18" s="341">
        <v>566.69399999999996</v>
      </c>
      <c r="M18" s="96">
        <v>0</v>
      </c>
      <c r="N18" s="97">
        <v>0</v>
      </c>
      <c r="O18" s="96">
        <v>0</v>
      </c>
      <c r="P18" s="97">
        <v>0</v>
      </c>
      <c r="Q18" s="96">
        <v>0</v>
      </c>
      <c r="R18" s="97">
        <v>0</v>
      </c>
      <c r="S18" s="96">
        <v>0</v>
      </c>
      <c r="T18" s="97">
        <v>0</v>
      </c>
      <c r="U18" s="96"/>
      <c r="V18" s="97"/>
      <c r="W18" s="101">
        <v>0</v>
      </c>
      <c r="X18" s="341">
        <v>0</v>
      </c>
      <c r="Y18" s="411">
        <f t="shared" si="0"/>
        <v>1348.0250999999998</v>
      </c>
      <c r="Z18" s="318">
        <f>VLOOKUP(B18,'АПП+Стомат._план'!$B$4:$AQ$89,42,FALSE)/1000</f>
        <v>1565.1623599999998</v>
      </c>
      <c r="AA18" s="401">
        <f t="shared" si="1"/>
        <v>-217.13725999999997</v>
      </c>
      <c r="AB18" s="96"/>
      <c r="AC18" s="97"/>
      <c r="AD18" s="96"/>
      <c r="AE18" s="97"/>
      <c r="AF18" s="96"/>
      <c r="AG18" s="97"/>
    </row>
    <row r="19" spans="1:35" ht="15" hidden="1" customHeight="1" x14ac:dyDescent="0.25">
      <c r="A19" s="5">
        <v>12</v>
      </c>
      <c r="B19" s="5">
        <v>391610</v>
      </c>
      <c r="C19" s="6" t="s">
        <v>104</v>
      </c>
      <c r="D19" s="299">
        <v>0</v>
      </c>
      <c r="E19" s="340">
        <v>33976.638099999996</v>
      </c>
      <c r="F19" s="98"/>
      <c r="G19" s="98"/>
      <c r="H19" s="436">
        <v>0</v>
      </c>
      <c r="I19" s="98"/>
      <c r="J19" s="97"/>
      <c r="K19" s="101">
        <v>21615</v>
      </c>
      <c r="L19" s="341">
        <v>6805.0504500000006</v>
      </c>
      <c r="M19" s="96">
        <v>0</v>
      </c>
      <c r="N19" s="97">
        <v>0</v>
      </c>
      <c r="O19" s="96">
        <v>0</v>
      </c>
      <c r="P19" s="97">
        <v>0</v>
      </c>
      <c r="Q19" s="96">
        <v>0</v>
      </c>
      <c r="R19" s="97">
        <v>0</v>
      </c>
      <c r="S19" s="96">
        <v>0</v>
      </c>
      <c r="T19" s="97">
        <v>0</v>
      </c>
      <c r="U19" s="96"/>
      <c r="V19" s="97"/>
      <c r="W19" s="101">
        <v>0</v>
      </c>
      <c r="X19" s="341">
        <v>0</v>
      </c>
      <c r="Y19" s="411">
        <f t="shared" si="0"/>
        <v>40781.688549999999</v>
      </c>
      <c r="Z19" s="318">
        <f>VLOOKUP(B19,'АПП+Стомат._план'!$B$4:$AQ$89,42,FALSE)/1000</f>
        <v>13658.147939999999</v>
      </c>
      <c r="AA19" s="401">
        <f t="shared" si="1"/>
        <v>27123.54061</v>
      </c>
      <c r="AB19" s="96"/>
      <c r="AC19" s="97"/>
      <c r="AD19" s="101"/>
      <c r="AE19" s="217"/>
      <c r="AF19" s="96"/>
      <c r="AG19" s="97"/>
    </row>
    <row r="20" spans="1:35" ht="15" customHeight="1" x14ac:dyDescent="0.25">
      <c r="A20" s="5">
        <v>13</v>
      </c>
      <c r="B20" s="5">
        <v>390440</v>
      </c>
      <c r="C20" s="238" t="s">
        <v>95</v>
      </c>
      <c r="D20" s="299">
        <v>133043</v>
      </c>
      <c r="E20" s="503">
        <v>155475.70021638338</v>
      </c>
      <c r="F20" s="98"/>
      <c r="G20" s="98"/>
      <c r="H20" s="436">
        <v>37820.3151</v>
      </c>
      <c r="I20" s="98"/>
      <c r="J20" s="98"/>
      <c r="K20" s="299">
        <v>219541</v>
      </c>
      <c r="L20" s="503">
        <v>170092.85660037544</v>
      </c>
      <c r="M20" s="500">
        <v>30640</v>
      </c>
      <c r="N20" s="501">
        <v>89471.906458973215</v>
      </c>
      <c r="O20" s="96">
        <v>9086</v>
      </c>
      <c r="P20" s="97">
        <v>9850.132599999999</v>
      </c>
      <c r="Q20" s="96">
        <v>8264</v>
      </c>
      <c r="R20" s="97">
        <v>12308.796442168874</v>
      </c>
      <c r="S20" s="96">
        <v>31603</v>
      </c>
      <c r="T20" s="97">
        <v>40092.107810000001</v>
      </c>
      <c r="U20" s="499">
        <v>300</v>
      </c>
      <c r="V20" s="408">
        <v>3809</v>
      </c>
      <c r="W20" s="101">
        <v>37710</v>
      </c>
      <c r="X20" s="504">
        <v>26029.710513797119</v>
      </c>
      <c r="Y20" s="411">
        <v>355407.26733055594</v>
      </c>
      <c r="Z20" s="318">
        <f>VLOOKUP(B20,'АПП+Стомат._план'!$B$4:$AQ$89,42,FALSE)/1000</f>
        <v>326762.20054634253</v>
      </c>
      <c r="AA20" s="401">
        <f t="shared" si="1"/>
        <v>28645.066784213413</v>
      </c>
      <c r="AB20" s="96"/>
      <c r="AC20" s="97"/>
      <c r="AD20" s="96"/>
      <c r="AE20" s="97"/>
      <c r="AF20" s="96">
        <v>300</v>
      </c>
      <c r="AG20" s="97">
        <v>278.09257000000002</v>
      </c>
      <c r="AI20" s="491">
        <f>(L20-N20-P20-R20-T20)*1000</f>
        <v>18369913.289233349</v>
      </c>
    </row>
    <row r="21" spans="1:35" ht="15" customHeight="1" x14ac:dyDescent="0.25">
      <c r="A21" s="5">
        <v>14</v>
      </c>
      <c r="B21" s="5">
        <v>390100</v>
      </c>
      <c r="C21" s="238" t="s">
        <v>93</v>
      </c>
      <c r="D21" s="299">
        <v>107695</v>
      </c>
      <c r="E21" s="503">
        <v>95989.676373800699</v>
      </c>
      <c r="F21" s="98"/>
      <c r="G21" s="98"/>
      <c r="H21" s="436">
        <v>5308.884</v>
      </c>
      <c r="I21" s="98"/>
      <c r="J21" s="98"/>
      <c r="K21" s="299">
        <v>176529</v>
      </c>
      <c r="L21" s="503">
        <v>126784.60296487204</v>
      </c>
      <c r="M21" s="500">
        <v>23544</v>
      </c>
      <c r="N21" s="501">
        <v>68281.105100000001</v>
      </c>
      <c r="O21" s="96">
        <v>6650</v>
      </c>
      <c r="P21" s="97">
        <v>7209.2650000000003</v>
      </c>
      <c r="Q21" s="96">
        <v>9312</v>
      </c>
      <c r="R21" s="97">
        <v>16062.490761536606</v>
      </c>
      <c r="S21" s="96">
        <v>24332</v>
      </c>
      <c r="T21" s="97">
        <v>30868.03457</v>
      </c>
      <c r="U21" s="96"/>
      <c r="V21" s="97"/>
      <c r="W21" s="299">
        <v>30474</v>
      </c>
      <c r="X21" s="504">
        <v>21198.62862</v>
      </c>
      <c r="Y21" s="411">
        <v>243972.90795867276</v>
      </c>
      <c r="Z21" s="318">
        <f>VLOOKUP(B21,'АПП+Стомат._план'!$B$4:$AQ$89,42,FALSE)/1000</f>
        <v>242222.2183413883</v>
      </c>
      <c r="AA21" s="401">
        <f t="shared" si="1"/>
        <v>1750.6896172844572</v>
      </c>
      <c r="AB21" s="96"/>
      <c r="AC21" s="97"/>
      <c r="AD21" s="96"/>
      <c r="AE21" s="97"/>
      <c r="AF21" s="96">
        <v>300</v>
      </c>
      <c r="AG21" s="97">
        <v>278.09257000000002</v>
      </c>
      <c r="AI21" s="491">
        <f t="shared" ref="AI21:AI46" si="2">(L21-N21-P21-R21-T21)*1000</f>
        <v>4363707.5333354333</v>
      </c>
    </row>
    <row r="22" spans="1:35" ht="15" customHeight="1" x14ac:dyDescent="0.25">
      <c r="A22" s="5">
        <v>15</v>
      </c>
      <c r="B22" s="5">
        <v>390090</v>
      </c>
      <c r="C22" s="238" t="s">
        <v>92</v>
      </c>
      <c r="D22" s="299">
        <v>106259</v>
      </c>
      <c r="E22" s="503">
        <v>92608.328484043275</v>
      </c>
      <c r="F22" s="98"/>
      <c r="G22" s="98"/>
      <c r="H22" s="436">
        <v>2008.4307999999999</v>
      </c>
      <c r="I22" s="98"/>
      <c r="J22" s="98"/>
      <c r="K22" s="299">
        <v>153045</v>
      </c>
      <c r="L22" s="503">
        <v>133062.49997424858</v>
      </c>
      <c r="M22" s="500">
        <v>24489</v>
      </c>
      <c r="N22" s="501">
        <v>71539.61666</v>
      </c>
      <c r="O22" s="96">
        <v>7338</v>
      </c>
      <c r="P22" s="97">
        <v>7955.1257999999998</v>
      </c>
      <c r="Q22" s="96">
        <v>5844</v>
      </c>
      <c r="R22" s="97">
        <v>8133.8885599999994</v>
      </c>
      <c r="S22" s="96">
        <v>25261</v>
      </c>
      <c r="T22" s="97">
        <v>32046.570239999997</v>
      </c>
      <c r="U22" s="96"/>
      <c r="V22" s="97"/>
      <c r="W22" s="101">
        <v>29875</v>
      </c>
      <c r="X22" s="504">
        <v>20657.295437460914</v>
      </c>
      <c r="Y22" s="411">
        <v>246328.12389575277</v>
      </c>
      <c r="Z22" s="318">
        <f>VLOOKUP(B22,'АПП+Стомат._план'!$B$4:$AQ$89,42,FALSE)/1000</f>
        <v>259680.60593796315</v>
      </c>
      <c r="AA22" s="401">
        <f t="shared" si="1"/>
        <v>-13352.48204221038</v>
      </c>
      <c r="AB22" s="96"/>
      <c r="AC22" s="97"/>
      <c r="AD22" s="96"/>
      <c r="AE22" s="97"/>
      <c r="AF22" s="96">
        <v>300</v>
      </c>
      <c r="AG22" s="97">
        <v>278.09257000000002</v>
      </c>
      <c r="AI22" s="491">
        <f t="shared" si="2"/>
        <v>13387298.714248583</v>
      </c>
    </row>
    <row r="23" spans="1:35" ht="15" customHeight="1" x14ac:dyDescent="0.25">
      <c r="A23" s="5">
        <v>16</v>
      </c>
      <c r="B23" s="5">
        <v>390400</v>
      </c>
      <c r="C23" s="238" t="s">
        <v>94</v>
      </c>
      <c r="D23" s="299">
        <v>227613</v>
      </c>
      <c r="E23" s="503">
        <v>217767.11667051038</v>
      </c>
      <c r="F23" s="98"/>
      <c r="G23" s="98"/>
      <c r="H23" s="436">
        <v>14110.094799999999</v>
      </c>
      <c r="I23" s="98"/>
      <c r="J23" s="98"/>
      <c r="K23" s="299">
        <v>374624</v>
      </c>
      <c r="L23" s="503">
        <v>291172.30585696758</v>
      </c>
      <c r="M23" s="500">
        <v>52950</v>
      </c>
      <c r="N23" s="501">
        <v>154728.07638999997</v>
      </c>
      <c r="O23" s="96">
        <v>15298</v>
      </c>
      <c r="P23" s="97">
        <v>16584.599699999999</v>
      </c>
      <c r="Q23" s="96">
        <v>12633</v>
      </c>
      <c r="R23" s="97">
        <v>17589.200270000001</v>
      </c>
      <c r="S23" s="96">
        <v>54619</v>
      </c>
      <c r="T23" s="97">
        <v>69286.023829999991</v>
      </c>
      <c r="U23" s="96"/>
      <c r="V23" s="97"/>
      <c r="W23" s="101">
        <v>64046</v>
      </c>
      <c r="X23" s="504">
        <v>44036.831721246919</v>
      </c>
      <c r="Y23" s="411">
        <v>552976.2542487249</v>
      </c>
      <c r="Z23" s="318">
        <f>VLOOKUP(B23,'АПП+Стомат._план'!$B$4:$AQ$89,42,FALSE)/1000</f>
        <v>565368.93752557028</v>
      </c>
      <c r="AA23" s="401">
        <f t="shared" si="1"/>
        <v>-12392.683276845375</v>
      </c>
      <c r="AB23" s="96"/>
      <c r="AC23" s="97"/>
      <c r="AD23" s="101"/>
      <c r="AE23" s="217"/>
      <c r="AF23" s="96">
        <v>600</v>
      </c>
      <c r="AG23" s="97">
        <v>555.71301000000005</v>
      </c>
      <c r="AI23" s="491">
        <f t="shared" si="2"/>
        <v>32984405.666967623</v>
      </c>
    </row>
    <row r="24" spans="1:35" ht="15" customHeight="1" x14ac:dyDescent="0.25">
      <c r="A24" s="5">
        <v>17</v>
      </c>
      <c r="B24" s="5">
        <v>390110</v>
      </c>
      <c r="C24" s="238" t="s">
        <v>99</v>
      </c>
      <c r="D24" s="299">
        <v>17231</v>
      </c>
      <c r="E24" s="503">
        <v>12617.101271364603</v>
      </c>
      <c r="F24" s="98"/>
      <c r="G24" s="98"/>
      <c r="H24" s="436">
        <v>0</v>
      </c>
      <c r="I24" s="98"/>
      <c r="J24" s="98"/>
      <c r="K24" s="299">
        <v>49399</v>
      </c>
      <c r="L24" s="503">
        <v>20127.253197914044</v>
      </c>
      <c r="M24" s="500">
        <v>3938</v>
      </c>
      <c r="N24" s="501">
        <v>11119.470160000001</v>
      </c>
      <c r="O24" s="96">
        <v>1197</v>
      </c>
      <c r="P24" s="97">
        <v>1297.6677</v>
      </c>
      <c r="Q24" s="96">
        <v>958</v>
      </c>
      <c r="R24" s="97">
        <v>1295.1396399999999</v>
      </c>
      <c r="S24" s="96">
        <v>4097</v>
      </c>
      <c r="T24" s="97">
        <v>5197.0938999999998</v>
      </c>
      <c r="U24" s="96"/>
      <c r="V24" s="97"/>
      <c r="W24" s="299">
        <v>4886</v>
      </c>
      <c r="X24" s="504">
        <v>3398.84818</v>
      </c>
      <c r="Y24" s="411">
        <v>36143.202649278646</v>
      </c>
      <c r="Z24" s="318">
        <f>VLOOKUP(B24,'АПП+Стомат._план'!$B$4:$AQ$89,42,FALSE)/1000</f>
        <v>39718.072331688614</v>
      </c>
      <c r="AA24" s="401">
        <f t="shared" si="1"/>
        <v>-3574.8696824099679</v>
      </c>
      <c r="AB24" s="96"/>
      <c r="AC24" s="97"/>
      <c r="AD24" s="96"/>
      <c r="AE24" s="97"/>
      <c r="AF24" s="96"/>
      <c r="AG24" s="97"/>
      <c r="AI24" s="491">
        <f t="shared" si="2"/>
        <v>1217881.797914044</v>
      </c>
    </row>
    <row r="25" spans="1:35" ht="15" customHeight="1" x14ac:dyDescent="0.25">
      <c r="A25" s="5">
        <v>18</v>
      </c>
      <c r="B25" s="5">
        <v>390890</v>
      </c>
      <c r="C25" s="238" t="s">
        <v>116</v>
      </c>
      <c r="D25" s="299">
        <v>161385</v>
      </c>
      <c r="E25" s="503">
        <v>316782.57681809651</v>
      </c>
      <c r="F25" s="98"/>
      <c r="G25" s="98"/>
      <c r="H25" s="436">
        <v>5794.7759999999998</v>
      </c>
      <c r="I25" s="98"/>
      <c r="J25" s="98"/>
      <c r="K25" s="299">
        <v>284043</v>
      </c>
      <c r="L25" s="503">
        <v>346511.27538655244</v>
      </c>
      <c r="M25" s="500">
        <v>531</v>
      </c>
      <c r="N25" s="501">
        <v>3876.6806724776789</v>
      </c>
      <c r="O25" s="96">
        <v>0</v>
      </c>
      <c r="P25" s="97">
        <v>0</v>
      </c>
      <c r="Q25" s="96">
        <v>115042</v>
      </c>
      <c r="R25" s="97">
        <v>258888.56740348617</v>
      </c>
      <c r="S25" s="96">
        <v>0</v>
      </c>
      <c r="T25" s="97">
        <v>0</v>
      </c>
      <c r="U25" s="96">
        <v>1506</v>
      </c>
      <c r="V25" s="97">
        <v>29979.207969999999</v>
      </c>
      <c r="W25" s="299">
        <v>46368</v>
      </c>
      <c r="X25" s="504">
        <v>32254.971839999998</v>
      </c>
      <c r="Y25" s="411">
        <v>725528.03201464901</v>
      </c>
      <c r="Z25" s="318">
        <f>VLOOKUP(B25,'АПП+Стомат._план'!$B$4:$AQ$89,42,FALSE)/1000</f>
        <v>751532.08769773529</v>
      </c>
      <c r="AA25" s="401">
        <f t="shared" si="1"/>
        <v>-26004.055683086277</v>
      </c>
      <c r="AB25" s="96">
        <v>50</v>
      </c>
      <c r="AC25" s="97">
        <v>1045.2750000000001</v>
      </c>
      <c r="AD25" s="96">
        <v>28</v>
      </c>
      <c r="AE25" s="97">
        <v>574.90125</v>
      </c>
      <c r="AF25" s="96">
        <v>200</v>
      </c>
      <c r="AG25" s="97">
        <v>356.10399999999998</v>
      </c>
      <c r="AI25" s="491">
        <f t="shared" si="2"/>
        <v>83746027.310588568</v>
      </c>
    </row>
    <row r="26" spans="1:35" ht="15" customHeight="1" x14ac:dyDescent="0.25">
      <c r="A26" s="5">
        <v>19</v>
      </c>
      <c r="B26" s="5">
        <v>390200</v>
      </c>
      <c r="C26" s="238" t="s">
        <v>29</v>
      </c>
      <c r="D26" s="299">
        <v>34462</v>
      </c>
      <c r="E26" s="503">
        <v>38989.493438365549</v>
      </c>
      <c r="F26" s="98"/>
      <c r="G26" s="98"/>
      <c r="H26" s="436">
        <v>644.55359999999996</v>
      </c>
      <c r="I26" s="98"/>
      <c r="J26" s="98"/>
      <c r="K26" s="299">
        <v>57290</v>
      </c>
      <c r="L26" s="503">
        <v>67127.033848160863</v>
      </c>
      <c r="M26" s="500">
        <v>6342</v>
      </c>
      <c r="N26" s="501">
        <v>18265.892340044644</v>
      </c>
      <c r="O26" s="96">
        <v>1882</v>
      </c>
      <c r="P26" s="97">
        <v>2040.2762</v>
      </c>
      <c r="Q26" s="96">
        <v>6157</v>
      </c>
      <c r="R26" s="97">
        <v>12496.174383419369</v>
      </c>
      <c r="S26" s="96">
        <v>6529</v>
      </c>
      <c r="T26" s="97">
        <v>8283.0131399999991</v>
      </c>
      <c r="U26" s="96"/>
      <c r="V26" s="97"/>
      <c r="W26" s="101">
        <v>9463</v>
      </c>
      <c r="X26" s="504">
        <v>6426.5628336586969</v>
      </c>
      <c r="Y26" s="411">
        <v>112543.09012018511</v>
      </c>
      <c r="Z26" s="318">
        <f>VLOOKUP(B26,'АПП+Стомат._план'!$B$4:$AQ$89,42,FALSE)/1000</f>
        <v>124247.74980863513</v>
      </c>
      <c r="AA26" s="401">
        <f t="shared" si="1"/>
        <v>-11704.659688450018</v>
      </c>
      <c r="AB26" s="96"/>
      <c r="AC26" s="97"/>
      <c r="AD26" s="96"/>
      <c r="AE26" s="97"/>
      <c r="AF26" s="96"/>
      <c r="AG26" s="97"/>
      <c r="AI26" s="491">
        <f t="shared" si="2"/>
        <v>26041677.784696851</v>
      </c>
    </row>
    <row r="27" spans="1:35" ht="15" customHeight="1" x14ac:dyDescent="0.25">
      <c r="A27" s="5">
        <v>20</v>
      </c>
      <c r="B27" s="5">
        <v>390160</v>
      </c>
      <c r="C27" s="238" t="s">
        <v>30</v>
      </c>
      <c r="D27" s="299">
        <v>35898</v>
      </c>
      <c r="E27" s="503">
        <v>44267.770508299902</v>
      </c>
      <c r="F27" s="98"/>
      <c r="G27" s="98"/>
      <c r="H27" s="436">
        <v>847.84480000000008</v>
      </c>
      <c r="I27" s="98"/>
      <c r="J27" s="98"/>
      <c r="K27" s="299">
        <v>59743</v>
      </c>
      <c r="L27" s="503">
        <v>52718.259288553745</v>
      </c>
      <c r="M27" s="500">
        <v>6548</v>
      </c>
      <c r="N27" s="501">
        <v>19364.897021406246</v>
      </c>
      <c r="O27" s="96">
        <v>1901</v>
      </c>
      <c r="P27" s="97">
        <v>2060.8741</v>
      </c>
      <c r="Q27" s="96">
        <v>6990</v>
      </c>
      <c r="R27" s="97">
        <v>14405.953365680543</v>
      </c>
      <c r="S27" s="96">
        <v>6711</v>
      </c>
      <c r="T27" s="97">
        <v>8514.1728699999985</v>
      </c>
      <c r="U27" s="96"/>
      <c r="V27" s="97"/>
      <c r="W27" s="299">
        <v>10226</v>
      </c>
      <c r="X27" s="504">
        <v>7113.5123800000001</v>
      </c>
      <c r="Y27" s="411">
        <v>104099.54217685365</v>
      </c>
      <c r="Z27" s="318">
        <f>VLOOKUP(B27,'АПП+Стомат._план'!$B$4:$AQ$89,42,FALSE)/1000</f>
        <v>108989.55795137254</v>
      </c>
      <c r="AA27" s="401">
        <f t="shared" si="1"/>
        <v>-4890.0157745188917</v>
      </c>
      <c r="AB27" s="96"/>
      <c r="AC27" s="97"/>
      <c r="AD27" s="101"/>
      <c r="AE27" s="217"/>
      <c r="AF27" s="96"/>
      <c r="AG27" s="97"/>
      <c r="AI27" s="491">
        <f t="shared" si="2"/>
        <v>8372361.9314669594</v>
      </c>
    </row>
    <row r="28" spans="1:35" ht="15" customHeight="1" x14ac:dyDescent="0.25">
      <c r="A28" s="5">
        <v>21</v>
      </c>
      <c r="B28" s="201">
        <v>390210</v>
      </c>
      <c r="C28" s="238" t="s">
        <v>31</v>
      </c>
      <c r="D28" s="299">
        <v>35898</v>
      </c>
      <c r="E28" s="503">
        <v>42090.553581192267</v>
      </c>
      <c r="F28" s="98"/>
      <c r="G28" s="98"/>
      <c r="H28" s="436">
        <v>1196.1600000000001</v>
      </c>
      <c r="I28" s="98"/>
      <c r="J28" s="98"/>
      <c r="K28" s="299">
        <v>59780</v>
      </c>
      <c r="L28" s="503">
        <v>63850.875286655457</v>
      </c>
      <c r="M28" s="500">
        <v>6632</v>
      </c>
      <c r="N28" s="501">
        <v>19140.101244508929</v>
      </c>
      <c r="O28" s="96">
        <v>2032</v>
      </c>
      <c r="P28" s="97">
        <v>2202.8912</v>
      </c>
      <c r="Q28" s="96">
        <v>6593</v>
      </c>
      <c r="R28" s="97">
        <v>13430.762244573032</v>
      </c>
      <c r="S28" s="96">
        <v>6841</v>
      </c>
      <c r="T28" s="97">
        <v>8678.8057499999995</v>
      </c>
      <c r="U28" s="96"/>
      <c r="V28" s="97"/>
      <c r="W28" s="101">
        <v>9843</v>
      </c>
      <c r="X28" s="504">
        <v>6653.9506376945346</v>
      </c>
      <c r="Y28" s="411">
        <v>112595.37950554225</v>
      </c>
      <c r="Z28" s="318">
        <f>VLOOKUP(B28,'АПП+Стомат._план'!$B$4:$AQ$89,42,FALSE)/1000</f>
        <v>120153.3295311268</v>
      </c>
      <c r="AA28" s="401">
        <f t="shared" si="1"/>
        <v>-7557.9500255845487</v>
      </c>
      <c r="AB28" s="96"/>
      <c r="AC28" s="97"/>
      <c r="AD28" s="96"/>
      <c r="AE28" s="97"/>
      <c r="AF28" s="96"/>
      <c r="AG28" s="97"/>
      <c r="AI28" s="491">
        <f t="shared" si="2"/>
        <v>20398314.8475735</v>
      </c>
    </row>
    <row r="29" spans="1:35" ht="15" customHeight="1" x14ac:dyDescent="0.25">
      <c r="A29" s="5">
        <v>22</v>
      </c>
      <c r="B29" s="5">
        <v>390220</v>
      </c>
      <c r="C29" s="238" t="s">
        <v>181</v>
      </c>
      <c r="D29" s="299">
        <v>99079</v>
      </c>
      <c r="E29" s="503">
        <v>120705.24506418926</v>
      </c>
      <c r="F29" s="98"/>
      <c r="G29" s="98"/>
      <c r="H29" s="436">
        <v>2102.5952000000002</v>
      </c>
      <c r="I29" s="98"/>
      <c r="J29" s="98"/>
      <c r="K29" s="299">
        <v>164771</v>
      </c>
      <c r="L29" s="503">
        <v>166998.2532794287</v>
      </c>
      <c r="M29" s="500">
        <v>17295</v>
      </c>
      <c r="N29" s="501">
        <v>50274.784811830359</v>
      </c>
      <c r="O29" s="96">
        <v>4780</v>
      </c>
      <c r="P29" s="97">
        <v>5181.9979999999996</v>
      </c>
      <c r="Q29" s="96">
        <v>22134</v>
      </c>
      <c r="R29" s="97">
        <v>46177.210638462915</v>
      </c>
      <c r="S29" s="96">
        <v>17776</v>
      </c>
      <c r="T29" s="97">
        <v>22550.494839999999</v>
      </c>
      <c r="U29" s="96"/>
      <c r="V29" s="97"/>
      <c r="W29" s="101">
        <v>27526</v>
      </c>
      <c r="X29" s="504">
        <v>18836.53025010636</v>
      </c>
      <c r="Y29" s="411">
        <v>306540.0285937243</v>
      </c>
      <c r="Z29" s="318">
        <f>VLOOKUP(B29,'АПП+Стомат._план'!$B$4:$AQ$89,42,FALSE)/1000</f>
        <v>305230.25016015134</v>
      </c>
      <c r="AA29" s="401">
        <f t="shared" si="1"/>
        <v>1309.7784335729666</v>
      </c>
      <c r="AB29" s="96"/>
      <c r="AC29" s="97"/>
      <c r="AD29" s="96"/>
      <c r="AE29" s="97"/>
      <c r="AF29" s="96">
        <v>300</v>
      </c>
      <c r="AG29" s="97">
        <v>278.09257000000002</v>
      </c>
      <c r="AI29" s="491">
        <f t="shared" si="2"/>
        <v>42813764.989135437</v>
      </c>
    </row>
    <row r="30" spans="1:35" ht="15" customHeight="1" x14ac:dyDescent="0.25">
      <c r="A30" s="5">
        <v>23</v>
      </c>
      <c r="B30" s="5">
        <v>390230</v>
      </c>
      <c r="C30" s="238" t="s">
        <v>33</v>
      </c>
      <c r="D30" s="299">
        <v>41642</v>
      </c>
      <c r="E30" s="503">
        <v>59133.383744465405</v>
      </c>
      <c r="F30" s="98"/>
      <c r="G30" s="98"/>
      <c r="H30" s="436">
        <v>8549.4123</v>
      </c>
      <c r="I30" s="98"/>
      <c r="J30" s="98"/>
      <c r="K30" s="299">
        <v>69038</v>
      </c>
      <c r="L30" s="503">
        <v>68101.026714376014</v>
      </c>
      <c r="M30" s="500">
        <v>7621</v>
      </c>
      <c r="N30" s="501">
        <v>22463.906343861607</v>
      </c>
      <c r="O30" s="96">
        <v>2351</v>
      </c>
      <c r="P30" s="97">
        <v>2548.7191000000003</v>
      </c>
      <c r="Q30" s="96">
        <v>7296</v>
      </c>
      <c r="R30" s="97">
        <v>14850.000211481189</v>
      </c>
      <c r="S30" s="96">
        <v>7787</v>
      </c>
      <c r="T30" s="97">
        <v>9877.9731699999993</v>
      </c>
      <c r="U30" s="96"/>
      <c r="V30" s="97"/>
      <c r="W30" s="101">
        <v>11348</v>
      </c>
      <c r="X30" s="504">
        <v>7743.2453583805027</v>
      </c>
      <c r="Y30" s="411">
        <v>134977.65581722191</v>
      </c>
      <c r="Z30" s="318">
        <f>VLOOKUP(B30,'АПП+Стомат._план'!$B$4:$AQ$89,42,FALSE)/1000</f>
        <v>127502.85493948942</v>
      </c>
      <c r="AA30" s="401">
        <f t="shared" si="1"/>
        <v>7474.8008777324867</v>
      </c>
      <c r="AB30" s="96"/>
      <c r="AC30" s="97"/>
      <c r="AD30" s="96"/>
      <c r="AE30" s="97"/>
      <c r="AF30" s="96"/>
      <c r="AG30" s="97"/>
      <c r="AI30" s="491">
        <f t="shared" si="2"/>
        <v>18360427.889033221</v>
      </c>
    </row>
    <row r="31" spans="1:35" ht="15" customHeight="1" x14ac:dyDescent="0.25">
      <c r="A31" s="5">
        <v>24</v>
      </c>
      <c r="B31" s="5">
        <v>390240</v>
      </c>
      <c r="C31" s="238" t="s">
        <v>34</v>
      </c>
      <c r="D31" s="299">
        <v>45950</v>
      </c>
      <c r="E31" s="503">
        <v>63371.182941706611</v>
      </c>
      <c r="F31" s="98"/>
      <c r="G31" s="98"/>
      <c r="H31" s="436">
        <v>7284.7349000000004</v>
      </c>
      <c r="I31" s="98"/>
      <c r="J31" s="98"/>
      <c r="K31" s="299">
        <v>76185</v>
      </c>
      <c r="L31" s="503">
        <v>84374.65514512072</v>
      </c>
      <c r="M31" s="500">
        <v>8405</v>
      </c>
      <c r="N31" s="501">
        <v>24507.420805915175</v>
      </c>
      <c r="O31" s="96">
        <v>2549</v>
      </c>
      <c r="P31" s="97">
        <v>2763.3708999999999</v>
      </c>
      <c r="Q31" s="96">
        <v>8409</v>
      </c>
      <c r="R31" s="97">
        <v>17166.338110618228</v>
      </c>
      <c r="S31" s="96">
        <v>8630</v>
      </c>
      <c r="T31" s="97">
        <v>10948.297460000002</v>
      </c>
      <c r="U31" s="96"/>
      <c r="V31" s="97"/>
      <c r="W31" s="101">
        <v>12588</v>
      </c>
      <c r="X31" s="504">
        <v>8598.436508048062</v>
      </c>
      <c r="Y31" s="411">
        <v>156344.2745948754</v>
      </c>
      <c r="Z31" s="318">
        <f>VLOOKUP(B31,'АПП+Стомат._план'!$B$4:$AQ$89,42,FALSE)/1000</f>
        <v>162793.17927709289</v>
      </c>
      <c r="AA31" s="401">
        <f t="shared" si="1"/>
        <v>-6448.904682217486</v>
      </c>
      <c r="AB31" s="96"/>
      <c r="AC31" s="97"/>
      <c r="AD31" s="101"/>
      <c r="AE31" s="217"/>
      <c r="AF31" s="96"/>
      <c r="AG31" s="97"/>
      <c r="AI31" s="491">
        <f t="shared" si="2"/>
        <v>28989227.868587319</v>
      </c>
    </row>
    <row r="32" spans="1:35" ht="15" customHeight="1" x14ac:dyDescent="0.25">
      <c r="A32" s="5">
        <v>25</v>
      </c>
      <c r="B32" s="5">
        <v>390290</v>
      </c>
      <c r="C32" s="238" t="s">
        <v>35</v>
      </c>
      <c r="D32" s="299">
        <v>12923</v>
      </c>
      <c r="E32" s="503">
        <v>18031.115567866007</v>
      </c>
      <c r="F32" s="98"/>
      <c r="G32" s="98"/>
      <c r="H32" s="436">
        <v>1072.6764000000001</v>
      </c>
      <c r="I32" s="98"/>
      <c r="J32" s="98"/>
      <c r="K32" s="299">
        <v>21846</v>
      </c>
      <c r="L32" s="503">
        <v>27551.575798394049</v>
      </c>
      <c r="M32" s="500">
        <v>2503</v>
      </c>
      <c r="N32" s="501">
        <v>7414.7715121205365</v>
      </c>
      <c r="O32" s="96">
        <v>783</v>
      </c>
      <c r="P32" s="97">
        <v>848.85030000000006</v>
      </c>
      <c r="Q32" s="96">
        <v>2300</v>
      </c>
      <c r="R32" s="97">
        <v>4650.8035539039774</v>
      </c>
      <c r="S32" s="96">
        <v>2529</v>
      </c>
      <c r="T32" s="97">
        <v>3208.8675800000001</v>
      </c>
      <c r="U32" s="96"/>
      <c r="V32" s="97"/>
      <c r="W32" s="299">
        <v>3794</v>
      </c>
      <c r="X32" s="504">
        <v>2639.2202200000002</v>
      </c>
      <c r="Y32" s="411">
        <v>48221.911586260059</v>
      </c>
      <c r="Z32" s="318">
        <f>VLOOKUP(B32,'АПП+Стомат._план'!$B$4:$AQ$89,42,FALSE)/1000</f>
        <v>47643.125521141519</v>
      </c>
      <c r="AA32" s="401">
        <f t="shared" si="1"/>
        <v>578.78606511854014</v>
      </c>
      <c r="AB32" s="96"/>
      <c r="AC32" s="97"/>
      <c r="AD32" s="96"/>
      <c r="AE32" s="97"/>
      <c r="AF32" s="96"/>
      <c r="AG32" s="97"/>
      <c r="AI32" s="491">
        <f t="shared" si="2"/>
        <v>11428282.852369534</v>
      </c>
    </row>
    <row r="33" spans="1:35" ht="15" customHeight="1" x14ac:dyDescent="0.25">
      <c r="A33" s="5">
        <v>26</v>
      </c>
      <c r="B33" s="5">
        <v>390380</v>
      </c>
      <c r="C33" s="238" t="s">
        <v>36</v>
      </c>
      <c r="D33" s="299">
        <v>8616</v>
      </c>
      <c r="E33" s="503">
        <v>9540.196573581632</v>
      </c>
      <c r="F33" s="98"/>
      <c r="G33" s="98"/>
      <c r="H33" s="436">
        <v>0</v>
      </c>
      <c r="I33" s="98"/>
      <c r="J33" s="98"/>
      <c r="K33" s="299">
        <v>14216</v>
      </c>
      <c r="L33" s="503">
        <v>11851.693257428384</v>
      </c>
      <c r="M33" s="500">
        <v>1586</v>
      </c>
      <c r="N33" s="501">
        <v>4570.4880213839278</v>
      </c>
      <c r="O33" s="96">
        <v>508</v>
      </c>
      <c r="P33" s="97">
        <v>550.72280000000001</v>
      </c>
      <c r="Q33" s="96">
        <v>1436</v>
      </c>
      <c r="R33" s="97">
        <v>2896.0567029349099</v>
      </c>
      <c r="S33" s="96">
        <v>1638</v>
      </c>
      <c r="T33" s="97">
        <v>2078.3322899999998</v>
      </c>
      <c r="U33" s="96"/>
      <c r="V33" s="97"/>
      <c r="W33" s="299">
        <v>2396</v>
      </c>
      <c r="X33" s="504">
        <v>1666.72948</v>
      </c>
      <c r="Y33" s="411">
        <v>23058.619311010014</v>
      </c>
      <c r="Z33" s="318">
        <f>VLOOKUP(B33,'АПП+Стомат._план'!$B$4:$AQ$89,42,FALSE)/1000</f>
        <v>22913.09328476946</v>
      </c>
      <c r="AA33" s="401">
        <f t="shared" si="1"/>
        <v>145.52602624055362</v>
      </c>
      <c r="AB33" s="96"/>
      <c r="AC33" s="97"/>
      <c r="AD33" s="96"/>
      <c r="AE33" s="97"/>
      <c r="AF33" s="96"/>
      <c r="AG33" s="97"/>
      <c r="AI33" s="491">
        <f t="shared" si="2"/>
        <v>1756093.4431095466</v>
      </c>
    </row>
    <row r="34" spans="1:35" ht="15" customHeight="1" x14ac:dyDescent="0.25">
      <c r="A34" s="5">
        <v>27</v>
      </c>
      <c r="B34" s="5">
        <v>390370</v>
      </c>
      <c r="C34" s="238" t="s">
        <v>37</v>
      </c>
      <c r="D34" s="299">
        <v>14359</v>
      </c>
      <c r="E34" s="503">
        <v>17260.058403715593</v>
      </c>
      <c r="F34" s="98"/>
      <c r="G34" s="98"/>
      <c r="H34" s="436">
        <v>383.76799999999997</v>
      </c>
      <c r="I34" s="98"/>
      <c r="J34" s="98"/>
      <c r="K34" s="299">
        <v>23825</v>
      </c>
      <c r="L34" s="503">
        <v>20320.54499252218</v>
      </c>
      <c r="M34" s="500">
        <v>2639</v>
      </c>
      <c r="N34" s="501">
        <v>7649.1180858705357</v>
      </c>
      <c r="O34" s="96">
        <v>791</v>
      </c>
      <c r="P34" s="97">
        <v>857.5231</v>
      </c>
      <c r="Q34" s="96">
        <v>2572</v>
      </c>
      <c r="R34" s="97">
        <v>5235.0043065343361</v>
      </c>
      <c r="S34" s="96">
        <v>2721</v>
      </c>
      <c r="T34" s="97">
        <v>3451.3958299999999</v>
      </c>
      <c r="U34" s="96"/>
      <c r="V34" s="97"/>
      <c r="W34" s="299">
        <v>4064</v>
      </c>
      <c r="X34" s="504">
        <v>2827.0403199999996</v>
      </c>
      <c r="Y34" s="411">
        <v>40407.64371623777</v>
      </c>
      <c r="Z34" s="318">
        <f>VLOOKUP(B34,'АПП+Стомат._план'!$B$4:$AQ$89,42,FALSE)/1000</f>
        <v>43107.893266830732</v>
      </c>
      <c r="AA34" s="401">
        <f t="shared" si="1"/>
        <v>-2700.2495505929619</v>
      </c>
      <c r="AB34" s="96"/>
      <c r="AC34" s="97"/>
      <c r="AD34" s="96"/>
      <c r="AE34" s="97"/>
      <c r="AF34" s="96"/>
      <c r="AG34" s="97"/>
      <c r="AI34" s="491">
        <f t="shared" si="2"/>
        <v>3127503.6701173079</v>
      </c>
    </row>
    <row r="35" spans="1:35" ht="15" customHeight="1" x14ac:dyDescent="0.25">
      <c r="A35" s="5">
        <v>28</v>
      </c>
      <c r="B35" s="5">
        <v>390480</v>
      </c>
      <c r="C35" s="238" t="s">
        <v>96</v>
      </c>
      <c r="D35" s="299">
        <v>50258</v>
      </c>
      <c r="E35" s="503">
        <v>64859.680804652417</v>
      </c>
      <c r="F35" s="98"/>
      <c r="G35" s="98"/>
      <c r="H35" s="436">
        <v>2624.9991</v>
      </c>
      <c r="I35" s="98"/>
      <c r="J35" s="98"/>
      <c r="K35" s="299">
        <v>83976</v>
      </c>
      <c r="L35" s="503">
        <v>75601.977566512287</v>
      </c>
      <c r="M35" s="500">
        <v>9550</v>
      </c>
      <c r="N35" s="501">
        <v>27995.075705558036</v>
      </c>
      <c r="O35" s="96">
        <v>2944</v>
      </c>
      <c r="P35" s="97">
        <v>3191.5904</v>
      </c>
      <c r="Q35" s="96">
        <v>9011</v>
      </c>
      <c r="R35" s="97">
        <v>18313.020384014617</v>
      </c>
      <c r="S35" s="96">
        <v>9809</v>
      </c>
      <c r="T35" s="97">
        <v>12443.888279999999</v>
      </c>
      <c r="U35" s="96"/>
      <c r="V35" s="97"/>
      <c r="W35" s="101">
        <v>14218</v>
      </c>
      <c r="X35" s="504">
        <v>9775.1775608490479</v>
      </c>
      <c r="Y35" s="411">
        <v>150236.83593201375</v>
      </c>
      <c r="Z35" s="318">
        <f>VLOOKUP(B35,'АПП+Стомат._план'!$B$4:$AQ$89,42,FALSE)/1000</f>
        <v>147902.83547465364</v>
      </c>
      <c r="AA35" s="401">
        <f t="shared" si="1"/>
        <v>2334.0004573601182</v>
      </c>
      <c r="AB35" s="96"/>
      <c r="AC35" s="97"/>
      <c r="AD35" s="101"/>
      <c r="AE35" s="217"/>
      <c r="AF35" s="96">
        <v>300</v>
      </c>
      <c r="AG35" s="97">
        <v>278.09257000000002</v>
      </c>
      <c r="AI35" s="491">
        <f t="shared" si="2"/>
        <v>13658402.796939638</v>
      </c>
    </row>
    <row r="36" spans="1:35" ht="15" customHeight="1" x14ac:dyDescent="0.25">
      <c r="A36" s="5">
        <v>29</v>
      </c>
      <c r="B36" s="5">
        <v>390260</v>
      </c>
      <c r="C36" s="238" t="s">
        <v>38</v>
      </c>
      <c r="D36" s="299">
        <v>22975</v>
      </c>
      <c r="E36" s="503">
        <v>29635.168216908554</v>
      </c>
      <c r="F36" s="98"/>
      <c r="G36" s="98"/>
      <c r="H36" s="436">
        <v>0</v>
      </c>
      <c r="I36" s="98"/>
      <c r="J36" s="98"/>
      <c r="K36" s="299">
        <v>38139</v>
      </c>
      <c r="L36" s="503">
        <v>42150.454028651162</v>
      </c>
      <c r="M36" s="500">
        <v>4180</v>
      </c>
      <c r="N36" s="501">
        <v>12154.664119687499</v>
      </c>
      <c r="O36" s="96">
        <v>1324</v>
      </c>
      <c r="P36" s="97">
        <v>1435.3483999999999</v>
      </c>
      <c r="Q36" s="96">
        <v>4099</v>
      </c>
      <c r="R36" s="97">
        <v>8342.5417402352796</v>
      </c>
      <c r="S36" s="96">
        <v>4290</v>
      </c>
      <c r="T36" s="97">
        <v>5442.1484700000001</v>
      </c>
      <c r="U36" s="96"/>
      <c r="V36" s="97"/>
      <c r="W36" s="101">
        <v>6217</v>
      </c>
      <c r="X36" s="504">
        <v>4208.4559471302437</v>
      </c>
      <c r="Y36" s="411">
        <v>75994.078192689965</v>
      </c>
      <c r="Z36" s="318">
        <f>VLOOKUP(B36,'АПП+Стомат._план'!$B$4:$AQ$89,42,FALSE)/1000</f>
        <v>79842.27612408431</v>
      </c>
      <c r="AA36" s="401">
        <f t="shared" si="1"/>
        <v>-3848.1979313943448</v>
      </c>
      <c r="AB36" s="96"/>
      <c r="AC36" s="97"/>
      <c r="AD36" s="96"/>
      <c r="AE36" s="97"/>
      <c r="AF36" s="96"/>
      <c r="AG36" s="97"/>
      <c r="AI36" s="491">
        <f t="shared" si="2"/>
        <v>14775751.298728384</v>
      </c>
    </row>
    <row r="37" spans="1:35" ht="15" customHeight="1" x14ac:dyDescent="0.25">
      <c r="A37" s="5">
        <v>30</v>
      </c>
      <c r="B37" s="5">
        <v>390250</v>
      </c>
      <c r="C37" s="238" t="s">
        <v>39</v>
      </c>
      <c r="D37" s="299">
        <v>17231</v>
      </c>
      <c r="E37" s="503">
        <v>21209.80035097809</v>
      </c>
      <c r="F37" s="98"/>
      <c r="G37" s="98"/>
      <c r="H37" s="436">
        <v>49.84</v>
      </c>
      <c r="I37" s="98"/>
      <c r="J37" s="98"/>
      <c r="K37" s="299">
        <v>28528</v>
      </c>
      <c r="L37" s="503">
        <v>36293.412174882302</v>
      </c>
      <c r="M37" s="500">
        <v>3152</v>
      </c>
      <c r="N37" s="501">
        <v>9372.4916231696443</v>
      </c>
      <c r="O37" s="96">
        <v>976</v>
      </c>
      <c r="P37" s="97">
        <v>1058.0816</v>
      </c>
      <c r="Q37" s="96">
        <v>2992</v>
      </c>
      <c r="R37" s="97">
        <v>6074.6196635578644</v>
      </c>
      <c r="S37" s="96">
        <v>3182</v>
      </c>
      <c r="T37" s="97">
        <v>4036.2425699999999</v>
      </c>
      <c r="U37" s="96"/>
      <c r="V37" s="97"/>
      <c r="W37" s="299">
        <v>4784</v>
      </c>
      <c r="X37" s="504">
        <v>3327.89392</v>
      </c>
      <c r="Y37" s="411">
        <v>60831.106445860394</v>
      </c>
      <c r="Z37" s="318">
        <f>VLOOKUP(B37,'АПП+Стомат._план'!$B$4:$AQ$89,42,FALSE)/1000</f>
        <v>64165.835432899134</v>
      </c>
      <c r="AA37" s="401">
        <f t="shared" si="1"/>
        <v>-3334.7289870387394</v>
      </c>
      <c r="AB37" s="96"/>
      <c r="AC37" s="97"/>
      <c r="AD37" s="96"/>
      <c r="AE37" s="97"/>
      <c r="AF37" s="96"/>
      <c r="AG37" s="97"/>
      <c r="AI37" s="491">
        <f t="shared" si="2"/>
        <v>15751976.718154792</v>
      </c>
    </row>
    <row r="38" spans="1:35" ht="15" customHeight="1" x14ac:dyDescent="0.25">
      <c r="A38" s="5">
        <v>31</v>
      </c>
      <c r="B38" s="5">
        <v>390300</v>
      </c>
      <c r="C38" s="238" t="s">
        <v>40</v>
      </c>
      <c r="D38" s="299">
        <v>15795</v>
      </c>
      <c r="E38" s="503">
        <v>21245.485602228931</v>
      </c>
      <c r="F38" s="98"/>
      <c r="G38" s="98"/>
      <c r="H38" s="436">
        <v>842.6400000000001</v>
      </c>
      <c r="I38" s="98"/>
      <c r="J38" s="98"/>
      <c r="K38" s="299">
        <v>26274</v>
      </c>
      <c r="L38" s="503">
        <v>36215.344907473736</v>
      </c>
      <c r="M38" s="500">
        <v>2878</v>
      </c>
      <c r="N38" s="501">
        <v>8513.5816590178565</v>
      </c>
      <c r="O38" s="96">
        <v>886</v>
      </c>
      <c r="P38" s="97">
        <v>960.51260000000002</v>
      </c>
      <c r="Q38" s="96">
        <v>2830</v>
      </c>
      <c r="R38" s="97">
        <v>5765.3605480664037</v>
      </c>
      <c r="S38" s="96">
        <v>2916</v>
      </c>
      <c r="T38" s="97">
        <v>3699.8188500000001</v>
      </c>
      <c r="U38" s="96"/>
      <c r="V38" s="97"/>
      <c r="W38" s="299">
        <v>4438</v>
      </c>
      <c r="X38" s="504">
        <v>3087.2059399999998</v>
      </c>
      <c r="Y38" s="411">
        <v>60548.036449702668</v>
      </c>
      <c r="Z38" s="318">
        <f>VLOOKUP(B38,'АПП+Стомат._план'!$B$4:$AQ$89,42,FALSE)/1000</f>
        <v>60163.178265480412</v>
      </c>
      <c r="AA38" s="401">
        <f t="shared" si="1"/>
        <v>384.85818422225566</v>
      </c>
      <c r="AB38" s="96"/>
      <c r="AC38" s="97"/>
      <c r="AD38" s="96"/>
      <c r="AE38" s="97"/>
      <c r="AF38" s="96"/>
      <c r="AG38" s="97"/>
      <c r="AI38" s="491">
        <f t="shared" si="2"/>
        <v>17276071.250389472</v>
      </c>
    </row>
    <row r="39" spans="1:35" ht="15" customHeight="1" x14ac:dyDescent="0.25">
      <c r="A39" s="5">
        <v>32</v>
      </c>
      <c r="B39" s="5">
        <v>390310</v>
      </c>
      <c r="C39" s="238" t="s">
        <v>117</v>
      </c>
      <c r="D39" s="299">
        <v>22975</v>
      </c>
      <c r="E39" s="503">
        <v>28193.27743619266</v>
      </c>
      <c r="F39" s="98"/>
      <c r="G39" s="98"/>
      <c r="H39" s="436">
        <v>269.13600000000002</v>
      </c>
      <c r="I39" s="98"/>
      <c r="J39" s="98"/>
      <c r="K39" s="299">
        <v>38018</v>
      </c>
      <c r="L39" s="503">
        <v>42617.63755671696</v>
      </c>
      <c r="M39" s="500">
        <v>4208</v>
      </c>
      <c r="N39" s="501">
        <v>12092.857999330357</v>
      </c>
      <c r="O39" s="96">
        <v>1285</v>
      </c>
      <c r="P39" s="97">
        <v>1393.0685000000001</v>
      </c>
      <c r="Q39" s="96">
        <v>4074</v>
      </c>
      <c r="R39" s="97">
        <v>8266.9573910936106</v>
      </c>
      <c r="S39" s="96">
        <v>4342</v>
      </c>
      <c r="T39" s="97">
        <v>5508.2542599999997</v>
      </c>
      <c r="U39" s="96"/>
      <c r="V39" s="97"/>
      <c r="W39" s="299">
        <v>6442</v>
      </c>
      <c r="X39" s="504">
        <v>4481.2484599999998</v>
      </c>
      <c r="Y39" s="411">
        <v>75292.163452909619</v>
      </c>
      <c r="Z39" s="318">
        <f>VLOOKUP(B39,'АПП+Стомат._план'!$B$4:$AQ$89,42,FALSE)/1000</f>
        <v>79222.242493098354</v>
      </c>
      <c r="AA39" s="401">
        <f t="shared" si="1"/>
        <v>-3930.0790401887352</v>
      </c>
      <c r="AB39" s="96"/>
      <c r="AC39" s="97"/>
      <c r="AD39" s="101"/>
      <c r="AE39" s="217"/>
      <c r="AF39" s="96"/>
      <c r="AG39" s="97"/>
      <c r="AI39" s="491">
        <f t="shared" si="2"/>
        <v>15356499.406292994</v>
      </c>
    </row>
    <row r="40" spans="1:35" ht="15" customHeight="1" x14ac:dyDescent="0.25">
      <c r="A40" s="5">
        <v>33</v>
      </c>
      <c r="B40" s="5">
        <v>390320</v>
      </c>
      <c r="C40" s="238" t="s">
        <v>102</v>
      </c>
      <c r="D40" s="299">
        <v>22975</v>
      </c>
      <c r="E40" s="503">
        <v>28682.901435666714</v>
      </c>
      <c r="F40" s="98"/>
      <c r="G40" s="98"/>
      <c r="H40" s="436">
        <v>1598.1968000000002</v>
      </c>
      <c r="I40" s="98"/>
      <c r="J40" s="98"/>
      <c r="K40" s="299">
        <v>38156</v>
      </c>
      <c r="L40" s="503">
        <v>44487.397009358567</v>
      </c>
      <c r="M40" s="500">
        <v>4145</v>
      </c>
      <c r="N40" s="501">
        <v>11984.225498995535</v>
      </c>
      <c r="O40" s="96">
        <v>1232</v>
      </c>
      <c r="P40" s="97">
        <v>1335.6112000000001</v>
      </c>
      <c r="Q40" s="96">
        <v>3954</v>
      </c>
      <c r="R40" s="97">
        <v>8015.0547725472352</v>
      </c>
      <c r="S40" s="96">
        <v>4262</v>
      </c>
      <c r="T40" s="97">
        <v>5406.7797699999992</v>
      </c>
      <c r="U40" s="96"/>
      <c r="V40" s="97"/>
      <c r="W40" s="299">
        <v>6446</v>
      </c>
      <c r="X40" s="504">
        <v>4484.0309800000005</v>
      </c>
      <c r="Y40" s="411">
        <v>77654.32942502528</v>
      </c>
      <c r="Z40" s="318">
        <f>VLOOKUP(B40,'АПП+Стомат._план'!$B$4:$AQ$89,42,FALSE)/1000</f>
        <v>79651.265948336179</v>
      </c>
      <c r="AA40" s="401">
        <f t="shared" si="1"/>
        <v>-1996.9365233108983</v>
      </c>
      <c r="AB40" s="96"/>
      <c r="AC40" s="97"/>
      <c r="AD40" s="96"/>
      <c r="AE40" s="97"/>
      <c r="AF40" s="96"/>
      <c r="AG40" s="97"/>
      <c r="AI40" s="491">
        <f t="shared" si="2"/>
        <v>17745725.767815799</v>
      </c>
    </row>
    <row r="41" spans="1:35" ht="15" customHeight="1" x14ac:dyDescent="0.25">
      <c r="A41" s="5">
        <v>34</v>
      </c>
      <c r="B41" s="5">
        <v>390180</v>
      </c>
      <c r="C41" s="238" t="s">
        <v>262</v>
      </c>
      <c r="D41" s="299">
        <v>38770</v>
      </c>
      <c r="E41" s="503">
        <v>45328.700966163429</v>
      </c>
      <c r="F41" s="98"/>
      <c r="G41" s="98"/>
      <c r="H41" s="436">
        <v>1533.4223999999999</v>
      </c>
      <c r="I41" s="98"/>
      <c r="J41" s="98"/>
      <c r="K41" s="299">
        <v>64388</v>
      </c>
      <c r="L41" s="503">
        <v>56119.782110668661</v>
      </c>
      <c r="M41" s="500">
        <v>7349</v>
      </c>
      <c r="N41" s="501">
        <v>21306.464518995534</v>
      </c>
      <c r="O41" s="96">
        <v>2249</v>
      </c>
      <c r="P41" s="97">
        <v>2438.1408999999999</v>
      </c>
      <c r="Q41" s="96">
        <v>6520</v>
      </c>
      <c r="R41" s="97">
        <v>13128.802661393527</v>
      </c>
      <c r="S41" s="96">
        <v>7571</v>
      </c>
      <c r="T41" s="97">
        <v>9604.7078399999991</v>
      </c>
      <c r="U41" s="96"/>
      <c r="V41" s="97"/>
      <c r="W41" s="299">
        <v>11013</v>
      </c>
      <c r="X41" s="504">
        <v>7660.9731900000006</v>
      </c>
      <c r="Y41" s="411">
        <v>109109.45626683209</v>
      </c>
      <c r="Z41" s="318">
        <f>VLOOKUP(B41,'АПП+Стомат._план'!$B$4:$AQ$89,42,FALSE)/1000</f>
        <v>114614.9441205277</v>
      </c>
      <c r="AA41" s="401">
        <f t="shared" si="1"/>
        <v>-5505.4878536956094</v>
      </c>
      <c r="AB41" s="96"/>
      <c r="AC41" s="97"/>
      <c r="AD41" s="96"/>
      <c r="AE41" s="97"/>
      <c r="AF41" s="96"/>
      <c r="AG41" s="97"/>
      <c r="AI41" s="491">
        <f t="shared" si="2"/>
        <v>9641666.1902796011</v>
      </c>
    </row>
    <row r="42" spans="1:35" ht="15" customHeight="1" x14ac:dyDescent="0.25">
      <c r="A42" s="5">
        <v>35</v>
      </c>
      <c r="B42" s="5">
        <v>390270</v>
      </c>
      <c r="C42" s="238" t="s">
        <v>100</v>
      </c>
      <c r="D42" s="299">
        <v>21539</v>
      </c>
      <c r="E42" s="503">
        <v>28694.905638908967</v>
      </c>
      <c r="F42" s="98"/>
      <c r="G42" s="98"/>
      <c r="H42" s="436">
        <v>1480.0655999999999</v>
      </c>
      <c r="I42" s="98"/>
      <c r="J42" s="98"/>
      <c r="K42" s="299">
        <v>36088</v>
      </c>
      <c r="L42" s="503">
        <v>45079.976867109843</v>
      </c>
      <c r="M42" s="500">
        <v>4109</v>
      </c>
      <c r="N42" s="501">
        <v>11930.72226970982</v>
      </c>
      <c r="O42" s="96">
        <v>1234</v>
      </c>
      <c r="P42" s="97">
        <v>1337.7793999999999</v>
      </c>
      <c r="Q42" s="96">
        <v>3822</v>
      </c>
      <c r="R42" s="97">
        <v>7721.7431690123967</v>
      </c>
      <c r="S42" s="96">
        <v>4200</v>
      </c>
      <c r="T42" s="97">
        <v>5328.0423099999998</v>
      </c>
      <c r="U42" s="96"/>
      <c r="V42" s="97"/>
      <c r="W42" s="299">
        <v>6237</v>
      </c>
      <c r="X42" s="504">
        <v>4338.6443099999997</v>
      </c>
      <c r="Y42" s="411">
        <v>78113.526816018813</v>
      </c>
      <c r="Z42" s="318">
        <f>VLOOKUP(B42,'АПП+Стомат._план'!$B$4:$AQ$89,42,FALSE)/1000</f>
        <v>82778.703900749329</v>
      </c>
      <c r="AA42" s="401">
        <f t="shared" si="1"/>
        <v>-4665.1770847305161</v>
      </c>
      <c r="AB42" s="96"/>
      <c r="AC42" s="97"/>
      <c r="AD42" s="96"/>
      <c r="AE42" s="97"/>
      <c r="AF42" s="96"/>
      <c r="AG42" s="97"/>
      <c r="AI42" s="491">
        <f t="shared" si="2"/>
        <v>18761689.71838763</v>
      </c>
    </row>
    <row r="43" spans="1:35" ht="15" customHeight="1" x14ac:dyDescent="0.25">
      <c r="A43" s="5">
        <v>36</v>
      </c>
      <c r="B43" s="5">
        <v>390190</v>
      </c>
      <c r="C43" s="238" t="s">
        <v>45</v>
      </c>
      <c r="D43" s="299">
        <v>47386</v>
      </c>
      <c r="E43" s="503">
        <v>69742.921153690841</v>
      </c>
      <c r="F43" s="98"/>
      <c r="G43" s="98"/>
      <c r="H43" s="436">
        <v>11686.867199999999</v>
      </c>
      <c r="I43" s="98"/>
      <c r="J43" s="98"/>
      <c r="K43" s="299">
        <v>79213</v>
      </c>
      <c r="L43" s="503">
        <v>68331.673988109964</v>
      </c>
      <c r="M43" s="500">
        <v>9001</v>
      </c>
      <c r="N43" s="501">
        <v>26587.314204553571</v>
      </c>
      <c r="O43" s="96">
        <v>2905</v>
      </c>
      <c r="P43" s="97">
        <v>3149.3105</v>
      </c>
      <c r="Q43" s="96">
        <v>8181</v>
      </c>
      <c r="R43" s="97">
        <v>16570.135102233369</v>
      </c>
      <c r="S43" s="96">
        <v>9199</v>
      </c>
      <c r="T43" s="97">
        <v>11670.408449999999</v>
      </c>
      <c r="U43" s="96"/>
      <c r="V43" s="97"/>
      <c r="W43" s="299">
        <v>13552</v>
      </c>
      <c r="X43" s="504">
        <v>9427.1777600000005</v>
      </c>
      <c r="Y43" s="411">
        <v>147501.77290180081</v>
      </c>
      <c r="Z43" s="318">
        <f>VLOOKUP(B43,'АПП+Стомат._план'!$B$4:$AQ$89,42,FALSE)/1000</f>
        <v>139680.08814381005</v>
      </c>
      <c r="AA43" s="401">
        <f t="shared" si="1"/>
        <v>7821.6847579907626</v>
      </c>
      <c r="AB43" s="96"/>
      <c r="AC43" s="97"/>
      <c r="AD43" s="101"/>
      <c r="AE43" s="217"/>
      <c r="AF43" s="96">
        <v>300</v>
      </c>
      <c r="AG43" s="97">
        <v>278.09257000000002</v>
      </c>
      <c r="AI43" s="491">
        <f t="shared" si="2"/>
        <v>10354505.731323024</v>
      </c>
    </row>
    <row r="44" spans="1:35" ht="15" customHeight="1" x14ac:dyDescent="0.25">
      <c r="A44" s="5">
        <v>37</v>
      </c>
      <c r="B44" s="5">
        <v>390280</v>
      </c>
      <c r="C44" s="238" t="s">
        <v>101</v>
      </c>
      <c r="D44" s="299">
        <v>56001</v>
      </c>
      <c r="E44" s="503">
        <v>72433.025405942215</v>
      </c>
      <c r="F44" s="98"/>
      <c r="G44" s="98"/>
      <c r="H44" s="436">
        <v>3253.8258000000001</v>
      </c>
      <c r="I44" s="98"/>
      <c r="J44" s="98"/>
      <c r="K44" s="299">
        <v>93710</v>
      </c>
      <c r="L44" s="503">
        <v>92275.657429562561</v>
      </c>
      <c r="M44" s="500">
        <v>10385</v>
      </c>
      <c r="N44" s="501">
        <v>30624.703818705359</v>
      </c>
      <c r="O44" s="96">
        <v>3227</v>
      </c>
      <c r="P44" s="97">
        <v>3498.3907000000004</v>
      </c>
      <c r="Q44" s="96">
        <v>10711</v>
      </c>
      <c r="R44" s="97">
        <v>21971.968133045502</v>
      </c>
      <c r="S44" s="96">
        <v>10617</v>
      </c>
      <c r="T44" s="97">
        <v>13468.31747</v>
      </c>
      <c r="U44" s="96"/>
      <c r="V44" s="97"/>
      <c r="W44" s="299">
        <v>16082</v>
      </c>
      <c r="X44" s="504">
        <v>11187.121660000001</v>
      </c>
      <c r="Y44" s="411">
        <v>175895.80449550477</v>
      </c>
      <c r="Z44" s="318">
        <f>VLOOKUP(B44,'АПП+Стомат._план'!$B$4:$AQ$89,42,FALSE)/1000</f>
        <v>189167.1785919047</v>
      </c>
      <c r="AA44" s="401">
        <f t="shared" si="1"/>
        <v>-13271.37409639993</v>
      </c>
      <c r="AB44" s="96"/>
      <c r="AC44" s="97"/>
      <c r="AD44" s="96"/>
      <c r="AE44" s="97"/>
      <c r="AF44" s="96">
        <v>300</v>
      </c>
      <c r="AG44" s="97">
        <v>278.09257000000002</v>
      </c>
      <c r="AI44" s="491">
        <f t="shared" si="2"/>
        <v>22712277.307811696</v>
      </c>
    </row>
    <row r="45" spans="1:35" ht="15" customHeight="1" x14ac:dyDescent="0.25">
      <c r="A45" s="5">
        <v>38</v>
      </c>
      <c r="B45" s="5">
        <v>390600</v>
      </c>
      <c r="C45" s="238" t="s">
        <v>118</v>
      </c>
      <c r="D45" s="299">
        <v>18667</v>
      </c>
      <c r="E45" s="503">
        <v>22341.218713302183</v>
      </c>
      <c r="F45" s="98"/>
      <c r="G45" s="98"/>
      <c r="H45" s="436">
        <v>2148.5381000000002</v>
      </c>
      <c r="I45" s="98"/>
      <c r="J45" s="98"/>
      <c r="K45" s="299">
        <v>31329</v>
      </c>
      <c r="L45" s="503">
        <v>23696.641886677397</v>
      </c>
      <c r="M45" s="500">
        <v>4274</v>
      </c>
      <c r="N45" s="501">
        <v>11371.628070000001</v>
      </c>
      <c r="O45" s="96">
        <v>1925</v>
      </c>
      <c r="P45" s="97">
        <v>2086.8924999999999</v>
      </c>
      <c r="Q45" s="96">
        <v>1072</v>
      </c>
      <c r="R45" s="97">
        <v>1382.46929</v>
      </c>
      <c r="S45" s="96">
        <v>4509</v>
      </c>
      <c r="T45" s="97">
        <v>5720.4664699999994</v>
      </c>
      <c r="U45" s="96"/>
      <c r="V45" s="97"/>
      <c r="W45" s="299">
        <v>5378</v>
      </c>
      <c r="X45" s="504">
        <v>3741.0981400000001</v>
      </c>
      <c r="Y45" s="411">
        <v>49778.958739979586</v>
      </c>
      <c r="Z45" s="318">
        <f>VLOOKUP(B45,'АПП+Стомат._план'!$B$4:$AQ$89,42,FALSE)/1000</f>
        <v>47157.289071912681</v>
      </c>
      <c r="AA45" s="401">
        <f t="shared" si="1"/>
        <v>2621.6696680669047</v>
      </c>
      <c r="AB45" s="96"/>
      <c r="AC45" s="97"/>
      <c r="AD45" s="96"/>
      <c r="AE45" s="97"/>
      <c r="AF45" s="96"/>
      <c r="AG45" s="97"/>
      <c r="AI45" s="491">
        <f t="shared" si="2"/>
        <v>3135185.5566773955</v>
      </c>
    </row>
    <row r="46" spans="1:35" ht="15" customHeight="1" x14ac:dyDescent="0.25">
      <c r="A46" s="5">
        <v>39</v>
      </c>
      <c r="B46" s="5">
        <v>390340</v>
      </c>
      <c r="C46" s="238" t="s">
        <v>119</v>
      </c>
      <c r="D46" s="299">
        <v>17231</v>
      </c>
      <c r="E46" s="503">
        <v>27221.276286862514</v>
      </c>
      <c r="F46" s="98"/>
      <c r="G46" s="98"/>
      <c r="H46" s="436">
        <v>10125.698399999999</v>
      </c>
      <c r="I46" s="98"/>
      <c r="J46" s="98"/>
      <c r="K46" s="299">
        <v>28617</v>
      </c>
      <c r="L46" s="503">
        <v>23024.367655255315</v>
      </c>
      <c r="M46" s="500">
        <v>4102</v>
      </c>
      <c r="N46" s="501">
        <v>11897.029119999999</v>
      </c>
      <c r="O46" s="96">
        <v>1248</v>
      </c>
      <c r="P46" s="97">
        <v>1352.9568000000002</v>
      </c>
      <c r="Q46" s="96">
        <v>983</v>
      </c>
      <c r="R46" s="97">
        <v>1359.6405500000001</v>
      </c>
      <c r="S46" s="96">
        <v>4239</v>
      </c>
      <c r="T46" s="97">
        <v>5378.14797</v>
      </c>
      <c r="U46" s="96"/>
      <c r="V46" s="97"/>
      <c r="W46" s="299">
        <v>5056</v>
      </c>
      <c r="X46" s="504">
        <v>3517.1052799999998</v>
      </c>
      <c r="Y46" s="411">
        <v>53762.749222117825</v>
      </c>
      <c r="Z46" s="318">
        <f>VLOOKUP(B46,'АПП+Стомат._план'!$B$4:$AQ$89,42,FALSE)/1000</f>
        <v>43537.620235206618</v>
      </c>
      <c r="AA46" s="401">
        <f t="shared" si="1"/>
        <v>10225.128986911208</v>
      </c>
      <c r="AB46" s="96"/>
      <c r="AC46" s="97"/>
      <c r="AD46" s="96"/>
      <c r="AE46" s="97"/>
      <c r="AF46" s="96"/>
      <c r="AG46" s="97"/>
      <c r="AI46" s="491">
        <f t="shared" si="2"/>
        <v>3036593.2152553159</v>
      </c>
    </row>
    <row r="47" spans="1:35" ht="15" hidden="1" customHeight="1" x14ac:dyDescent="0.25">
      <c r="A47" s="5">
        <v>40</v>
      </c>
      <c r="B47" s="5">
        <v>390782</v>
      </c>
      <c r="C47" s="397" t="s">
        <v>193</v>
      </c>
      <c r="D47" s="299">
        <v>829</v>
      </c>
      <c r="E47" s="340">
        <v>71417.903999999995</v>
      </c>
      <c r="F47" s="98">
        <v>829</v>
      </c>
      <c r="G47" s="342">
        <v>71417.903999999995</v>
      </c>
      <c r="H47" s="436">
        <v>0</v>
      </c>
      <c r="I47" s="343"/>
      <c r="J47" s="343"/>
      <c r="K47" s="101">
        <v>0</v>
      </c>
      <c r="L47" s="341">
        <v>0</v>
      </c>
      <c r="M47" s="96">
        <v>0</v>
      </c>
      <c r="N47" s="97">
        <v>0</v>
      </c>
      <c r="O47" s="96">
        <v>0</v>
      </c>
      <c r="P47" s="97">
        <v>0</v>
      </c>
      <c r="Q47" s="96">
        <v>0</v>
      </c>
      <c r="R47" s="97">
        <v>0</v>
      </c>
      <c r="S47" s="96">
        <v>0</v>
      </c>
      <c r="T47" s="97">
        <v>0</v>
      </c>
      <c r="U47" s="101"/>
      <c r="V47" s="217"/>
      <c r="W47" s="101">
        <v>0</v>
      </c>
      <c r="X47" s="341">
        <v>0</v>
      </c>
      <c r="Y47" s="411">
        <f t="shared" si="0"/>
        <v>71417.903999999995</v>
      </c>
      <c r="Z47" s="318">
        <f>VLOOKUP(B47,'АПП+Стомат._план'!$B$4:$AQ$89,42,FALSE)/1000</f>
        <v>71417.903999999995</v>
      </c>
      <c r="AA47" s="401">
        <f t="shared" si="1"/>
        <v>0</v>
      </c>
      <c r="AB47" s="96"/>
      <c r="AC47" s="97"/>
      <c r="AD47" s="101"/>
      <c r="AE47" s="217"/>
      <c r="AF47" s="96"/>
      <c r="AG47" s="97"/>
    </row>
    <row r="48" spans="1:35" s="236" customFormat="1" ht="15" hidden="1" customHeight="1" x14ac:dyDescent="0.25">
      <c r="A48" s="5">
        <v>41</v>
      </c>
      <c r="B48" s="5">
        <v>392080</v>
      </c>
      <c r="C48" s="397" t="s">
        <v>194</v>
      </c>
      <c r="D48" s="299">
        <v>431</v>
      </c>
      <c r="E48" s="340">
        <v>43053.226920000001</v>
      </c>
      <c r="F48" s="98">
        <v>431</v>
      </c>
      <c r="G48" s="342">
        <v>43053.226920000001</v>
      </c>
      <c r="H48" s="436">
        <v>0</v>
      </c>
      <c r="I48" s="343"/>
      <c r="J48" s="343"/>
      <c r="K48" s="101">
        <v>0</v>
      </c>
      <c r="L48" s="341">
        <v>0</v>
      </c>
      <c r="M48" s="96">
        <v>0</v>
      </c>
      <c r="N48" s="97">
        <v>0</v>
      </c>
      <c r="O48" s="96">
        <v>0</v>
      </c>
      <c r="P48" s="97">
        <v>0</v>
      </c>
      <c r="Q48" s="96">
        <v>0</v>
      </c>
      <c r="R48" s="97">
        <v>0</v>
      </c>
      <c r="S48" s="96">
        <v>0</v>
      </c>
      <c r="T48" s="97">
        <v>0</v>
      </c>
      <c r="U48" s="101"/>
      <c r="V48" s="217"/>
      <c r="W48" s="101">
        <v>0</v>
      </c>
      <c r="X48" s="341">
        <v>0</v>
      </c>
      <c r="Y48" s="411">
        <f t="shared" si="0"/>
        <v>43053.226920000001</v>
      </c>
      <c r="Z48" s="318">
        <f>VLOOKUP(B48,'АПП+Стомат._план'!$B$4:$AQ$89,42,FALSE)/1000</f>
        <v>43053.226920000001</v>
      </c>
      <c r="AA48" s="401">
        <f t="shared" si="1"/>
        <v>0</v>
      </c>
      <c r="AB48" s="96"/>
      <c r="AC48" s="97"/>
      <c r="AD48" s="96"/>
      <c r="AE48" s="97"/>
      <c r="AF48" s="96"/>
      <c r="AG48" s="97"/>
    </row>
    <row r="49" spans="1:33" s="236" customFormat="1" ht="15" hidden="1" customHeight="1" x14ac:dyDescent="0.25">
      <c r="A49" s="5">
        <v>42</v>
      </c>
      <c r="B49" s="5">
        <v>392160</v>
      </c>
      <c r="C49" s="397" t="s">
        <v>195</v>
      </c>
      <c r="D49" s="299">
        <v>2829</v>
      </c>
      <c r="E49" s="340">
        <v>249040.82331000001</v>
      </c>
      <c r="F49" s="98">
        <v>2829</v>
      </c>
      <c r="G49" s="342">
        <v>249040.82331000001</v>
      </c>
      <c r="H49" s="436">
        <v>0</v>
      </c>
      <c r="I49" s="343"/>
      <c r="J49" s="343"/>
      <c r="K49" s="101">
        <v>0</v>
      </c>
      <c r="L49" s="341">
        <v>0</v>
      </c>
      <c r="M49" s="96">
        <v>0</v>
      </c>
      <c r="N49" s="97">
        <v>0</v>
      </c>
      <c r="O49" s="96">
        <v>0</v>
      </c>
      <c r="P49" s="97">
        <v>0</v>
      </c>
      <c r="Q49" s="96">
        <v>0</v>
      </c>
      <c r="R49" s="97">
        <v>0</v>
      </c>
      <c r="S49" s="96">
        <v>0</v>
      </c>
      <c r="T49" s="97">
        <v>0</v>
      </c>
      <c r="U49" s="101"/>
      <c r="V49" s="217"/>
      <c r="W49" s="101">
        <v>0</v>
      </c>
      <c r="X49" s="341">
        <v>0</v>
      </c>
      <c r="Y49" s="411">
        <f t="shared" si="0"/>
        <v>249040.82331000001</v>
      </c>
      <c r="Z49" s="318">
        <f>VLOOKUP(B49,'АПП+Стомат._план'!$B$4:$AQ$89,42,FALSE)/1000</f>
        <v>249040.82331000001</v>
      </c>
      <c r="AA49" s="401">
        <f t="shared" si="1"/>
        <v>0</v>
      </c>
      <c r="AB49" s="96"/>
      <c r="AC49" s="97"/>
      <c r="AD49" s="96"/>
      <c r="AE49" s="97"/>
      <c r="AF49" s="96"/>
      <c r="AG49" s="97"/>
    </row>
    <row r="50" spans="1:33" ht="15" hidden="1" customHeight="1" x14ac:dyDescent="0.25">
      <c r="A50" s="5">
        <v>43</v>
      </c>
      <c r="B50" s="5">
        <v>392400</v>
      </c>
      <c r="C50" s="6" t="s">
        <v>51</v>
      </c>
      <c r="D50" s="299">
        <v>900</v>
      </c>
      <c r="E50" s="340">
        <v>1191.8610000000001</v>
      </c>
      <c r="F50" s="98"/>
      <c r="G50" s="98"/>
      <c r="H50" s="436">
        <v>0</v>
      </c>
      <c r="I50" s="343"/>
      <c r="J50" s="343"/>
      <c r="K50" s="101">
        <v>30</v>
      </c>
      <c r="L50" s="341">
        <v>9.4449000000000005</v>
      </c>
      <c r="M50" s="96">
        <v>0</v>
      </c>
      <c r="N50" s="97">
        <v>0</v>
      </c>
      <c r="O50" s="96">
        <v>0</v>
      </c>
      <c r="P50" s="97">
        <v>0</v>
      </c>
      <c r="Q50" s="96">
        <v>0</v>
      </c>
      <c r="R50" s="97">
        <v>0</v>
      </c>
      <c r="S50" s="96">
        <v>0</v>
      </c>
      <c r="T50" s="97">
        <v>0</v>
      </c>
      <c r="U50" s="101"/>
      <c r="V50" s="217"/>
      <c r="W50" s="101">
        <v>0</v>
      </c>
      <c r="X50" s="341">
        <v>0</v>
      </c>
      <c r="Y50" s="411">
        <f t="shared" si="0"/>
        <v>1201.3059000000001</v>
      </c>
      <c r="Z50" s="318">
        <f>VLOOKUP(B50,'АПП+Стомат._план'!$B$4:$AQ$89,42,FALSE)/1000</f>
        <v>1191.8610000000001</v>
      </c>
      <c r="AA50" s="401">
        <f t="shared" si="1"/>
        <v>9.4448999999999614</v>
      </c>
      <c r="AB50" s="96"/>
      <c r="AC50" s="97"/>
      <c r="AD50" s="96"/>
      <c r="AE50" s="97"/>
      <c r="AF50" s="96"/>
      <c r="AG50" s="97"/>
    </row>
    <row r="51" spans="1:33" ht="15" hidden="1" customHeight="1" x14ac:dyDescent="0.25">
      <c r="A51" s="5">
        <v>44</v>
      </c>
      <c r="B51" s="5">
        <v>391492</v>
      </c>
      <c r="C51" s="6" t="s">
        <v>196</v>
      </c>
      <c r="D51" s="299">
        <v>0</v>
      </c>
      <c r="E51" s="340">
        <v>1087.2</v>
      </c>
      <c r="F51" s="343"/>
      <c r="G51" s="343"/>
      <c r="H51" s="436">
        <v>0</v>
      </c>
      <c r="I51" s="343"/>
      <c r="J51" s="343"/>
      <c r="K51" s="101">
        <v>0</v>
      </c>
      <c r="L51" s="341">
        <v>0</v>
      </c>
      <c r="M51" s="96">
        <v>0</v>
      </c>
      <c r="N51" s="97">
        <v>0</v>
      </c>
      <c r="O51" s="96">
        <v>0</v>
      </c>
      <c r="P51" s="97">
        <v>0</v>
      </c>
      <c r="Q51" s="96">
        <v>0</v>
      </c>
      <c r="R51" s="97">
        <v>0</v>
      </c>
      <c r="S51" s="96">
        <v>0</v>
      </c>
      <c r="T51" s="97">
        <v>0</v>
      </c>
      <c r="U51" s="101"/>
      <c r="V51" s="217"/>
      <c r="W51" s="101">
        <v>0</v>
      </c>
      <c r="X51" s="341">
        <v>0</v>
      </c>
      <c r="Y51" s="411">
        <f t="shared" si="0"/>
        <v>1087.2</v>
      </c>
      <c r="Z51" s="318">
        <f>VLOOKUP(B51,'АПП+Стомат._план'!$B$4:$AQ$89,42,FALSE)/1000</f>
        <v>0</v>
      </c>
      <c r="AA51" s="401">
        <f t="shared" si="1"/>
        <v>1087.2</v>
      </c>
      <c r="AB51" s="96"/>
      <c r="AC51" s="97"/>
      <c r="AD51" s="101"/>
      <c r="AE51" s="217"/>
      <c r="AF51" s="96"/>
      <c r="AG51" s="97"/>
    </row>
    <row r="52" spans="1:33" ht="15" hidden="1" customHeight="1" x14ac:dyDescent="0.25">
      <c r="A52" s="5">
        <v>45</v>
      </c>
      <c r="B52" s="5">
        <v>392320</v>
      </c>
      <c r="C52" s="6" t="s">
        <v>52</v>
      </c>
      <c r="D52" s="299">
        <v>750</v>
      </c>
      <c r="E52" s="340">
        <v>993.21749999999997</v>
      </c>
      <c r="F52" s="343"/>
      <c r="G52" s="343"/>
      <c r="H52" s="436">
        <v>0</v>
      </c>
      <c r="I52" s="343"/>
      <c r="J52" s="343"/>
      <c r="K52" s="101">
        <v>0</v>
      </c>
      <c r="L52" s="341">
        <v>0</v>
      </c>
      <c r="M52" s="96">
        <v>0</v>
      </c>
      <c r="N52" s="97">
        <v>0</v>
      </c>
      <c r="O52" s="96">
        <v>0</v>
      </c>
      <c r="P52" s="97">
        <v>0</v>
      </c>
      <c r="Q52" s="96">
        <v>0</v>
      </c>
      <c r="R52" s="97">
        <v>0</v>
      </c>
      <c r="S52" s="96">
        <v>0</v>
      </c>
      <c r="T52" s="97">
        <v>0</v>
      </c>
      <c r="U52" s="101"/>
      <c r="V52" s="217"/>
      <c r="W52" s="101">
        <v>0</v>
      </c>
      <c r="X52" s="341">
        <v>0</v>
      </c>
      <c r="Y52" s="411">
        <f t="shared" si="0"/>
        <v>993.21749999999997</v>
      </c>
      <c r="Z52" s="318">
        <f>VLOOKUP(B52,'АПП+Стомат._план'!$B$4:$AQ$89,42,FALSE)/1000</f>
        <v>993.21749999999997</v>
      </c>
      <c r="AA52" s="401">
        <f t="shared" si="1"/>
        <v>0</v>
      </c>
      <c r="AB52" s="96"/>
      <c r="AC52" s="97"/>
      <c r="AD52" s="96"/>
      <c r="AE52" s="97"/>
      <c r="AF52" s="96"/>
      <c r="AG52" s="97"/>
    </row>
    <row r="53" spans="1:33" ht="15" hidden="1" customHeight="1" x14ac:dyDescent="0.25">
      <c r="A53" s="5">
        <v>46</v>
      </c>
      <c r="B53" s="5">
        <v>391310</v>
      </c>
      <c r="C53" s="6" t="s">
        <v>53</v>
      </c>
      <c r="D53" s="299">
        <v>100</v>
      </c>
      <c r="E53" s="340">
        <v>132.429</v>
      </c>
      <c r="F53" s="98"/>
      <c r="G53" s="98"/>
      <c r="H53" s="436">
        <v>0</v>
      </c>
      <c r="I53" s="98"/>
      <c r="J53" s="99"/>
      <c r="K53" s="101">
        <v>1000</v>
      </c>
      <c r="L53" s="341">
        <v>314.83</v>
      </c>
      <c r="M53" s="96">
        <v>0</v>
      </c>
      <c r="N53" s="97">
        <v>0</v>
      </c>
      <c r="O53" s="96">
        <v>0</v>
      </c>
      <c r="P53" s="97">
        <v>0</v>
      </c>
      <c r="Q53" s="96">
        <v>0</v>
      </c>
      <c r="R53" s="97">
        <v>0</v>
      </c>
      <c r="S53" s="96">
        <v>0</v>
      </c>
      <c r="T53" s="97">
        <v>0</v>
      </c>
      <c r="U53" s="96"/>
      <c r="V53" s="97"/>
      <c r="W53" s="101">
        <v>0</v>
      </c>
      <c r="X53" s="341">
        <v>0</v>
      </c>
      <c r="Y53" s="411">
        <f t="shared" si="0"/>
        <v>447.25900000000001</v>
      </c>
      <c r="Z53" s="318">
        <f>VLOOKUP(B53,'АПП+Стомат._план'!$B$4:$AQ$89,42,FALSE)/1000</f>
        <v>524.93232000000012</v>
      </c>
      <c r="AA53" s="401">
        <f t="shared" si="1"/>
        <v>-77.673320000000103</v>
      </c>
      <c r="AB53" s="96"/>
      <c r="AC53" s="97"/>
      <c r="AD53" s="96"/>
      <c r="AE53" s="97"/>
      <c r="AF53" s="96"/>
      <c r="AG53" s="97"/>
    </row>
    <row r="54" spans="1:33" ht="15" hidden="1" customHeight="1" x14ac:dyDescent="0.25">
      <c r="A54" s="5">
        <v>47</v>
      </c>
      <c r="B54" s="5">
        <v>391000</v>
      </c>
      <c r="C54" s="6" t="s">
        <v>182</v>
      </c>
      <c r="D54" s="299"/>
      <c r="E54" s="340">
        <f>H54</f>
        <v>0</v>
      </c>
      <c r="F54" s="96"/>
      <c r="G54" s="97"/>
      <c r="H54" s="436">
        <v>0</v>
      </c>
      <c r="I54" s="96"/>
      <c r="J54" s="99"/>
      <c r="K54" s="101">
        <v>0</v>
      </c>
      <c r="L54" s="341">
        <v>0</v>
      </c>
      <c r="M54" s="96">
        <v>0</v>
      </c>
      <c r="N54" s="97">
        <v>0</v>
      </c>
      <c r="O54" s="96">
        <v>0</v>
      </c>
      <c r="P54" s="97">
        <v>0</v>
      </c>
      <c r="Q54" s="96">
        <v>0</v>
      </c>
      <c r="R54" s="97">
        <v>0</v>
      </c>
      <c r="S54" s="96">
        <v>0</v>
      </c>
      <c r="T54" s="97">
        <v>0</v>
      </c>
      <c r="U54" s="96"/>
      <c r="V54" s="97"/>
      <c r="W54" s="101">
        <v>0</v>
      </c>
      <c r="X54" s="341">
        <v>0</v>
      </c>
      <c r="Y54" s="411">
        <f t="shared" si="0"/>
        <v>0</v>
      </c>
      <c r="Z54" s="318">
        <f>VLOOKUP(B54,'АПП+Стомат._план'!$B$4:$AQ$89,42,FALSE)/1000</f>
        <v>0</v>
      </c>
      <c r="AA54" s="401">
        <f t="shared" si="1"/>
        <v>0</v>
      </c>
      <c r="AB54" s="96"/>
      <c r="AC54" s="97"/>
      <c r="AD54" s="96"/>
      <c r="AE54" s="97"/>
      <c r="AF54" s="96"/>
      <c r="AG54" s="97"/>
    </row>
    <row r="55" spans="1:33" ht="15" hidden="1" customHeight="1" x14ac:dyDescent="0.25">
      <c r="A55" s="5">
        <v>48</v>
      </c>
      <c r="B55" s="5">
        <v>391930</v>
      </c>
      <c r="C55" s="6" t="s">
        <v>198</v>
      </c>
      <c r="D55" s="299">
        <v>0</v>
      </c>
      <c r="E55" s="340">
        <v>2511.33</v>
      </c>
      <c r="F55" s="96"/>
      <c r="G55" s="97"/>
      <c r="H55" s="436">
        <v>0</v>
      </c>
      <c r="I55" s="97"/>
      <c r="J55" s="100"/>
      <c r="K55" s="101">
        <v>0</v>
      </c>
      <c r="L55" s="341">
        <v>0</v>
      </c>
      <c r="M55" s="96">
        <v>0</v>
      </c>
      <c r="N55" s="97">
        <v>0</v>
      </c>
      <c r="O55" s="96">
        <v>0</v>
      </c>
      <c r="P55" s="97">
        <v>0</v>
      </c>
      <c r="Q55" s="96">
        <v>0</v>
      </c>
      <c r="R55" s="97">
        <v>0</v>
      </c>
      <c r="S55" s="96">
        <v>0</v>
      </c>
      <c r="T55" s="97">
        <v>0</v>
      </c>
      <c r="U55" s="96"/>
      <c r="V55" s="97"/>
      <c r="W55" s="101">
        <v>0</v>
      </c>
      <c r="X55" s="341">
        <v>0</v>
      </c>
      <c r="Y55" s="411">
        <f t="shared" si="0"/>
        <v>2511.33</v>
      </c>
      <c r="Z55" s="318">
        <f>VLOOKUP(B55,'АПП+Стомат._план'!$B$4:$AQ$89,42,FALSE)/1000</f>
        <v>0</v>
      </c>
      <c r="AA55" s="401">
        <f t="shared" si="1"/>
        <v>2511.33</v>
      </c>
      <c r="AB55" s="96"/>
      <c r="AC55" s="97"/>
      <c r="AD55" s="101"/>
      <c r="AE55" s="217"/>
      <c r="AF55" s="96"/>
      <c r="AG55" s="97"/>
    </row>
    <row r="56" spans="1:33" ht="15" hidden="1" customHeight="1" x14ac:dyDescent="0.25">
      <c r="A56" s="5">
        <v>49</v>
      </c>
      <c r="B56" s="5">
        <v>392630</v>
      </c>
      <c r="C56" s="6" t="s">
        <v>199</v>
      </c>
      <c r="D56" s="299">
        <v>50</v>
      </c>
      <c r="E56" s="340">
        <v>66.214500000000001</v>
      </c>
      <c r="F56" s="98"/>
      <c r="G56" s="98"/>
      <c r="H56" s="436">
        <v>0</v>
      </c>
      <c r="I56" s="98"/>
      <c r="J56" s="99"/>
      <c r="K56" s="101">
        <v>30</v>
      </c>
      <c r="L56" s="341">
        <v>9.4449000000000005</v>
      </c>
      <c r="M56" s="96">
        <v>0</v>
      </c>
      <c r="N56" s="97">
        <v>0</v>
      </c>
      <c r="O56" s="96">
        <v>0</v>
      </c>
      <c r="P56" s="97">
        <v>0</v>
      </c>
      <c r="Q56" s="96">
        <v>0</v>
      </c>
      <c r="R56" s="97">
        <v>0</v>
      </c>
      <c r="S56" s="96">
        <v>0</v>
      </c>
      <c r="T56" s="97">
        <v>0</v>
      </c>
      <c r="U56" s="96"/>
      <c r="V56" s="97"/>
      <c r="W56" s="101">
        <v>0</v>
      </c>
      <c r="X56" s="341">
        <v>0</v>
      </c>
      <c r="Y56" s="411">
        <f t="shared" si="0"/>
        <v>75.659400000000005</v>
      </c>
      <c r="Z56" s="318">
        <f>VLOOKUP(B56,'АПП+Стомат._план'!$B$4:$AQ$89,42,FALSE)/1000</f>
        <v>66.214500000000001</v>
      </c>
      <c r="AA56" s="401">
        <f t="shared" si="1"/>
        <v>9.4449000000000041</v>
      </c>
      <c r="AB56" s="96"/>
      <c r="AC56" s="97"/>
      <c r="AD56" s="96"/>
      <c r="AE56" s="97"/>
      <c r="AF56" s="96"/>
      <c r="AG56" s="97"/>
    </row>
    <row r="57" spans="1:33" ht="15" hidden="1" customHeight="1" x14ac:dyDescent="0.25">
      <c r="A57" s="5">
        <v>50</v>
      </c>
      <c r="B57" s="5">
        <v>392750</v>
      </c>
      <c r="C57" s="6" t="s">
        <v>65</v>
      </c>
      <c r="D57" s="299">
        <v>50</v>
      </c>
      <c r="E57" s="340">
        <v>66.214500000000001</v>
      </c>
      <c r="F57" s="98"/>
      <c r="G57" s="98"/>
      <c r="H57" s="436">
        <v>0</v>
      </c>
      <c r="I57" s="98"/>
      <c r="J57" s="99"/>
      <c r="K57" s="101">
        <v>0</v>
      </c>
      <c r="L57" s="341">
        <v>0</v>
      </c>
      <c r="M57" s="96">
        <v>0</v>
      </c>
      <c r="N57" s="97">
        <v>0</v>
      </c>
      <c r="O57" s="96">
        <v>0</v>
      </c>
      <c r="P57" s="97">
        <v>0</v>
      </c>
      <c r="Q57" s="96">
        <v>0</v>
      </c>
      <c r="R57" s="97">
        <v>0</v>
      </c>
      <c r="S57" s="96">
        <v>0</v>
      </c>
      <c r="T57" s="97">
        <v>0</v>
      </c>
      <c r="U57" s="96"/>
      <c r="V57" s="97"/>
      <c r="W57" s="101">
        <v>0</v>
      </c>
      <c r="X57" s="341">
        <v>0</v>
      </c>
      <c r="Y57" s="411">
        <f t="shared" si="0"/>
        <v>66.214500000000001</v>
      </c>
      <c r="Z57" s="318">
        <f>VLOOKUP(B57,'АПП+Стомат._план'!$B$4:$AQ$89,42,FALSE)/1000</f>
        <v>66.214500000000001</v>
      </c>
      <c r="AA57" s="401">
        <f t="shared" si="1"/>
        <v>0</v>
      </c>
      <c r="AB57" s="96"/>
      <c r="AC57" s="97"/>
      <c r="AD57" s="96"/>
      <c r="AE57" s="97"/>
      <c r="AF57" s="96"/>
      <c r="AG57" s="97"/>
    </row>
    <row r="58" spans="1:33" ht="15" hidden="1" customHeight="1" x14ac:dyDescent="0.25">
      <c r="A58" s="5">
        <v>51</v>
      </c>
      <c r="B58" s="5">
        <v>392830</v>
      </c>
      <c r="C58" s="6" t="s">
        <v>200</v>
      </c>
      <c r="D58" s="299">
        <v>0</v>
      </c>
      <c r="E58" s="340">
        <v>2075.81</v>
      </c>
      <c r="F58" s="98"/>
      <c r="G58" s="98"/>
      <c r="H58" s="436">
        <v>0</v>
      </c>
      <c r="I58" s="98"/>
      <c r="J58" s="99"/>
      <c r="K58" s="101">
        <v>0</v>
      </c>
      <c r="L58" s="341">
        <v>0</v>
      </c>
      <c r="M58" s="96">
        <v>0</v>
      </c>
      <c r="N58" s="97">
        <v>0</v>
      </c>
      <c r="O58" s="96">
        <v>0</v>
      </c>
      <c r="P58" s="97">
        <v>0</v>
      </c>
      <c r="Q58" s="96">
        <v>0</v>
      </c>
      <c r="R58" s="97">
        <v>0</v>
      </c>
      <c r="S58" s="96">
        <v>0</v>
      </c>
      <c r="T58" s="97">
        <v>0</v>
      </c>
      <c r="U58" s="96"/>
      <c r="V58" s="97"/>
      <c r="W58" s="101">
        <v>0</v>
      </c>
      <c r="X58" s="341">
        <v>0</v>
      </c>
      <c r="Y58" s="411">
        <f t="shared" si="0"/>
        <v>2075.81</v>
      </c>
      <c r="Z58" s="318">
        <f>VLOOKUP(B58,'АПП+Стомат._план'!$B$4:$AQ$89,42,FALSE)/1000</f>
        <v>0</v>
      </c>
      <c r="AA58" s="401">
        <f t="shared" si="1"/>
        <v>2075.81</v>
      </c>
      <c r="AB58" s="96"/>
      <c r="AC58" s="97"/>
      <c r="AD58" s="96"/>
      <c r="AE58" s="97"/>
      <c r="AF58" s="96"/>
      <c r="AG58" s="97"/>
    </row>
    <row r="59" spans="1:33" ht="15" hidden="1" customHeight="1" x14ac:dyDescent="0.25">
      <c r="A59" s="5">
        <v>52</v>
      </c>
      <c r="B59" s="437">
        <v>390008</v>
      </c>
      <c r="C59" s="6" t="s">
        <v>201</v>
      </c>
      <c r="D59" s="299"/>
      <c r="E59" s="340">
        <v>0</v>
      </c>
      <c r="F59" s="98"/>
      <c r="G59" s="98"/>
      <c r="H59" s="436">
        <v>0</v>
      </c>
      <c r="I59" s="98">
        <v>30</v>
      </c>
      <c r="J59" s="99">
        <v>9.4449000000000005</v>
      </c>
      <c r="K59" s="101">
        <v>0</v>
      </c>
      <c r="L59" s="341">
        <v>0</v>
      </c>
      <c r="M59" s="96">
        <v>0</v>
      </c>
      <c r="N59" s="97">
        <v>0</v>
      </c>
      <c r="O59" s="96">
        <v>0</v>
      </c>
      <c r="P59" s="97">
        <v>0</v>
      </c>
      <c r="Q59" s="96">
        <v>0</v>
      </c>
      <c r="R59" s="97">
        <v>0</v>
      </c>
      <c r="S59" s="96">
        <v>0</v>
      </c>
      <c r="T59" s="97">
        <v>0</v>
      </c>
      <c r="U59" s="96"/>
      <c r="V59" s="97"/>
      <c r="W59" s="101">
        <v>0</v>
      </c>
      <c r="X59" s="341">
        <v>0</v>
      </c>
      <c r="Y59" s="411">
        <f t="shared" si="0"/>
        <v>0</v>
      </c>
      <c r="Z59" s="318">
        <f>VLOOKUP(B59,'АПП+Стомат._план'!$B$4:$AQ$89,42,FALSE)/1000</f>
        <v>0</v>
      </c>
      <c r="AA59" s="401">
        <f t="shared" si="1"/>
        <v>0</v>
      </c>
      <c r="AB59" s="96"/>
      <c r="AC59" s="97"/>
      <c r="AD59" s="101"/>
      <c r="AE59" s="217"/>
      <c r="AF59" s="96"/>
      <c r="AG59" s="97"/>
    </row>
    <row r="60" spans="1:33" ht="15" hidden="1" customHeight="1" x14ac:dyDescent="0.25">
      <c r="A60" s="5">
        <v>53</v>
      </c>
      <c r="B60" s="5">
        <v>391960</v>
      </c>
      <c r="C60" s="6" t="s">
        <v>66</v>
      </c>
      <c r="D60" s="299">
        <v>0</v>
      </c>
      <c r="E60" s="340">
        <v>0</v>
      </c>
      <c r="F60" s="98"/>
      <c r="G60" s="98"/>
      <c r="H60" s="436">
        <v>0</v>
      </c>
      <c r="I60" s="98">
        <v>2389</v>
      </c>
      <c r="J60" s="99">
        <v>5189.13</v>
      </c>
      <c r="K60" s="101">
        <v>0</v>
      </c>
      <c r="L60" s="341">
        <v>0</v>
      </c>
      <c r="M60" s="96">
        <v>0</v>
      </c>
      <c r="N60" s="97">
        <v>0</v>
      </c>
      <c r="O60" s="96">
        <v>0</v>
      </c>
      <c r="P60" s="97">
        <v>0</v>
      </c>
      <c r="Q60" s="96">
        <v>0</v>
      </c>
      <c r="R60" s="97">
        <v>0</v>
      </c>
      <c r="S60" s="96">
        <v>0</v>
      </c>
      <c r="T60" s="97">
        <v>0</v>
      </c>
      <c r="U60" s="96"/>
      <c r="V60" s="97"/>
      <c r="W60" s="101">
        <v>0</v>
      </c>
      <c r="X60" s="341">
        <v>0</v>
      </c>
      <c r="Y60" s="411">
        <f t="shared" si="0"/>
        <v>0</v>
      </c>
      <c r="Z60" s="318">
        <f>VLOOKUP(B60,'АПП+Стомат._план'!$B$4:$AQ$89,42,FALSE)/1000</f>
        <v>0</v>
      </c>
      <c r="AA60" s="401">
        <f t="shared" si="1"/>
        <v>0</v>
      </c>
      <c r="AB60" s="96"/>
      <c r="AC60" s="97"/>
      <c r="AD60" s="96"/>
      <c r="AE60" s="97"/>
      <c r="AF60" s="96"/>
      <c r="AG60" s="97"/>
    </row>
    <row r="61" spans="1:33" ht="15" hidden="1" customHeight="1" x14ac:dyDescent="0.25">
      <c r="A61" s="5">
        <v>54</v>
      </c>
      <c r="B61" s="437">
        <v>390007</v>
      </c>
      <c r="C61" s="6" t="s">
        <v>202</v>
      </c>
      <c r="D61" s="299">
        <v>50</v>
      </c>
      <c r="E61" s="340">
        <v>93.394499999999994</v>
      </c>
      <c r="F61" s="98"/>
      <c r="G61" s="98"/>
      <c r="H61" s="436">
        <v>0</v>
      </c>
      <c r="I61" s="98"/>
      <c r="J61" s="97"/>
      <c r="K61" s="101">
        <v>30</v>
      </c>
      <c r="L61" s="341">
        <v>9.4449000000000005</v>
      </c>
      <c r="M61" s="96">
        <v>0</v>
      </c>
      <c r="N61" s="97">
        <v>0</v>
      </c>
      <c r="O61" s="96">
        <v>0</v>
      </c>
      <c r="P61" s="97">
        <v>0</v>
      </c>
      <c r="Q61" s="96">
        <v>0</v>
      </c>
      <c r="R61" s="97">
        <v>0</v>
      </c>
      <c r="S61" s="96">
        <v>0</v>
      </c>
      <c r="T61" s="97">
        <v>0</v>
      </c>
      <c r="U61" s="96"/>
      <c r="V61" s="97"/>
      <c r="W61" s="101">
        <v>0</v>
      </c>
      <c r="X61" s="341">
        <v>0</v>
      </c>
      <c r="Y61" s="411">
        <f t="shared" si="0"/>
        <v>102.8394</v>
      </c>
      <c r="Z61" s="318">
        <f>VLOOKUP(B61,'АПП+Стомат._план'!$B$4:$AQ$89,42,FALSE)/1000</f>
        <v>66.214500000000001</v>
      </c>
      <c r="AA61" s="401">
        <f t="shared" si="1"/>
        <v>36.624899999999997</v>
      </c>
      <c r="AB61" s="96"/>
      <c r="AC61" s="97"/>
      <c r="AD61" s="96"/>
      <c r="AE61" s="97"/>
      <c r="AF61" s="96"/>
      <c r="AG61" s="97"/>
    </row>
    <row r="62" spans="1:33" ht="15" hidden="1" customHeight="1" x14ac:dyDescent="0.25">
      <c r="A62" s="5">
        <v>55</v>
      </c>
      <c r="B62" s="5">
        <v>391370</v>
      </c>
      <c r="C62" s="6" t="s">
        <v>73</v>
      </c>
      <c r="D62" s="299">
        <v>0</v>
      </c>
      <c r="E62" s="340">
        <v>1775.4597000000001</v>
      </c>
      <c r="F62" s="98"/>
      <c r="G62" s="98"/>
      <c r="H62" s="436">
        <v>0</v>
      </c>
      <c r="I62" s="98"/>
      <c r="J62" s="97"/>
      <c r="K62" s="101">
        <v>0</v>
      </c>
      <c r="L62" s="341">
        <v>0</v>
      </c>
      <c r="M62" s="96">
        <v>0</v>
      </c>
      <c r="N62" s="97">
        <v>0</v>
      </c>
      <c r="O62" s="96">
        <v>0</v>
      </c>
      <c r="P62" s="97">
        <v>0</v>
      </c>
      <c r="Q62" s="96">
        <v>0</v>
      </c>
      <c r="R62" s="97">
        <v>0</v>
      </c>
      <c r="S62" s="96">
        <v>0</v>
      </c>
      <c r="T62" s="97">
        <v>0</v>
      </c>
      <c r="U62" s="96"/>
      <c r="V62" s="97"/>
      <c r="W62" s="101">
        <v>0</v>
      </c>
      <c r="X62" s="341">
        <v>0</v>
      </c>
      <c r="Y62" s="411">
        <f t="shared" si="0"/>
        <v>1775.4597000000001</v>
      </c>
      <c r="Z62" s="318">
        <f>VLOOKUP(B62,'АПП+Стомат._план'!$B$4:$AQ$89,42,FALSE)/1000</f>
        <v>0</v>
      </c>
      <c r="AA62" s="401">
        <f t="shared" si="1"/>
        <v>1775.4597000000001</v>
      </c>
      <c r="AB62" s="96"/>
      <c r="AC62" s="97"/>
      <c r="AD62" s="96"/>
      <c r="AE62" s="97"/>
      <c r="AF62" s="96"/>
      <c r="AG62" s="97"/>
    </row>
    <row r="63" spans="1:33" ht="15" hidden="1" customHeight="1" x14ac:dyDescent="0.25">
      <c r="A63" s="5">
        <v>56</v>
      </c>
      <c r="B63" s="5">
        <v>392470</v>
      </c>
      <c r="C63" s="6" t="s">
        <v>67</v>
      </c>
      <c r="D63" s="299">
        <v>0</v>
      </c>
      <c r="E63" s="340">
        <v>0</v>
      </c>
      <c r="F63" s="98"/>
      <c r="G63" s="98"/>
      <c r="H63" s="436">
        <v>0</v>
      </c>
      <c r="I63" s="98">
        <v>10</v>
      </c>
      <c r="J63" s="97">
        <v>0.81</v>
      </c>
      <c r="K63" s="101">
        <v>0</v>
      </c>
      <c r="L63" s="341">
        <v>0</v>
      </c>
      <c r="M63" s="96">
        <v>0</v>
      </c>
      <c r="N63" s="97">
        <v>0</v>
      </c>
      <c r="O63" s="96">
        <v>0</v>
      </c>
      <c r="P63" s="97">
        <v>0</v>
      </c>
      <c r="Q63" s="96">
        <v>0</v>
      </c>
      <c r="R63" s="97">
        <v>0</v>
      </c>
      <c r="S63" s="96">
        <v>0</v>
      </c>
      <c r="T63" s="97">
        <v>0</v>
      </c>
      <c r="U63" s="96"/>
      <c r="V63" s="97"/>
      <c r="W63" s="101">
        <v>0</v>
      </c>
      <c r="X63" s="341">
        <v>0</v>
      </c>
      <c r="Y63" s="411">
        <f t="shared" si="0"/>
        <v>0</v>
      </c>
      <c r="Z63" s="318">
        <f>VLOOKUP(B63,'АПП+Стомат._план'!$B$4:$AQ$89,42,FALSE)/1000</f>
        <v>0</v>
      </c>
      <c r="AA63" s="401">
        <f t="shared" si="1"/>
        <v>0</v>
      </c>
      <c r="AB63" s="96"/>
      <c r="AC63" s="97"/>
      <c r="AD63" s="101"/>
      <c r="AE63" s="217"/>
      <c r="AF63" s="96"/>
      <c r="AG63" s="97"/>
    </row>
    <row r="64" spans="1:33" ht="15" hidden="1" customHeight="1" x14ac:dyDescent="0.25">
      <c r="A64" s="5">
        <v>57</v>
      </c>
      <c r="B64" s="5">
        <v>391970</v>
      </c>
      <c r="C64" s="6" t="s">
        <v>203</v>
      </c>
      <c r="D64" s="299">
        <v>0</v>
      </c>
      <c r="E64" s="340">
        <v>3037.3378000000002</v>
      </c>
      <c r="F64" s="98"/>
      <c r="G64" s="98"/>
      <c r="H64" s="436">
        <v>0</v>
      </c>
      <c r="I64" s="98"/>
      <c r="J64" s="97"/>
      <c r="K64" s="101">
        <v>0</v>
      </c>
      <c r="L64" s="341">
        <v>0</v>
      </c>
      <c r="M64" s="96">
        <v>0</v>
      </c>
      <c r="N64" s="97">
        <v>0</v>
      </c>
      <c r="O64" s="96">
        <v>0</v>
      </c>
      <c r="P64" s="97">
        <v>0</v>
      </c>
      <c r="Q64" s="96">
        <v>0</v>
      </c>
      <c r="R64" s="97">
        <v>0</v>
      </c>
      <c r="S64" s="96">
        <v>0</v>
      </c>
      <c r="T64" s="97">
        <v>0</v>
      </c>
      <c r="U64" s="96"/>
      <c r="V64" s="97"/>
      <c r="W64" s="101">
        <v>0</v>
      </c>
      <c r="X64" s="341">
        <v>0</v>
      </c>
      <c r="Y64" s="411">
        <f t="shared" si="0"/>
        <v>3037.3378000000002</v>
      </c>
      <c r="Z64" s="318">
        <f>VLOOKUP(B64,'АПП+Стомат._план'!$B$4:$AQ$89,42,FALSE)/1000</f>
        <v>0</v>
      </c>
      <c r="AA64" s="401">
        <f t="shared" si="1"/>
        <v>3037.3378000000002</v>
      </c>
      <c r="AB64" s="96"/>
      <c r="AC64" s="97"/>
      <c r="AD64" s="96"/>
      <c r="AE64" s="97"/>
      <c r="AF64" s="96"/>
      <c r="AG64" s="97"/>
    </row>
    <row r="65" spans="1:35" ht="15" hidden="1" customHeight="1" x14ac:dyDescent="0.25">
      <c r="A65" s="5">
        <v>58</v>
      </c>
      <c r="B65" s="5">
        <v>392720</v>
      </c>
      <c r="C65" s="6" t="s">
        <v>69</v>
      </c>
      <c r="D65" s="299">
        <v>0</v>
      </c>
      <c r="E65" s="340">
        <v>1043.56</v>
      </c>
      <c r="F65" s="98"/>
      <c r="G65" s="98"/>
      <c r="H65" s="436">
        <v>0</v>
      </c>
      <c r="I65" s="98"/>
      <c r="J65" s="97"/>
      <c r="K65" s="101">
        <v>0</v>
      </c>
      <c r="L65" s="341">
        <v>0</v>
      </c>
      <c r="M65" s="96">
        <v>0</v>
      </c>
      <c r="N65" s="97">
        <v>0</v>
      </c>
      <c r="O65" s="96">
        <v>0</v>
      </c>
      <c r="P65" s="97">
        <v>0</v>
      </c>
      <c r="Q65" s="96">
        <v>0</v>
      </c>
      <c r="R65" s="97">
        <v>0</v>
      </c>
      <c r="S65" s="96">
        <v>0</v>
      </c>
      <c r="T65" s="97">
        <v>0</v>
      </c>
      <c r="U65" s="96"/>
      <c r="V65" s="97"/>
      <c r="W65" s="101">
        <v>0</v>
      </c>
      <c r="X65" s="341">
        <v>0</v>
      </c>
      <c r="Y65" s="411">
        <f t="shared" si="0"/>
        <v>1043.56</v>
      </c>
      <c r="Z65" s="318">
        <f>VLOOKUP(B65,'АПП+Стомат._план'!$B$4:$AQ$89,42,FALSE)/1000</f>
        <v>0</v>
      </c>
      <c r="AA65" s="401">
        <f t="shared" si="1"/>
        <v>1043.56</v>
      </c>
      <c r="AB65" s="96"/>
      <c r="AC65" s="97"/>
      <c r="AD65" s="96"/>
      <c r="AE65" s="97"/>
      <c r="AF65" s="96"/>
      <c r="AG65" s="97"/>
    </row>
    <row r="66" spans="1:35" ht="15" hidden="1" customHeight="1" x14ac:dyDescent="0.25">
      <c r="A66" s="5">
        <v>59</v>
      </c>
      <c r="B66" s="5">
        <v>392050</v>
      </c>
      <c r="C66" s="6" t="s">
        <v>204</v>
      </c>
      <c r="D66" s="299">
        <v>0</v>
      </c>
      <c r="E66" s="340">
        <v>354.82400000000001</v>
      </c>
      <c r="F66" s="98"/>
      <c r="G66" s="98"/>
      <c r="H66" s="436">
        <v>21.7</v>
      </c>
      <c r="I66" s="98"/>
      <c r="J66" s="97"/>
      <c r="K66" s="101">
        <v>0</v>
      </c>
      <c r="L66" s="341">
        <v>0</v>
      </c>
      <c r="M66" s="96">
        <v>0</v>
      </c>
      <c r="N66" s="97">
        <v>0</v>
      </c>
      <c r="O66" s="96">
        <v>0</v>
      </c>
      <c r="P66" s="97">
        <v>0</v>
      </c>
      <c r="Q66" s="96">
        <v>0</v>
      </c>
      <c r="R66" s="97">
        <v>0</v>
      </c>
      <c r="S66" s="96">
        <v>0</v>
      </c>
      <c r="T66" s="97">
        <v>0</v>
      </c>
      <c r="U66" s="96"/>
      <c r="V66" s="97"/>
      <c r="W66" s="101">
        <v>0</v>
      </c>
      <c r="X66" s="341">
        <v>0</v>
      </c>
      <c r="Y66" s="411">
        <f t="shared" si="0"/>
        <v>354.82400000000001</v>
      </c>
      <c r="Z66" s="318">
        <f>VLOOKUP(B66,'АПП+Стомат._план'!$B$4:$AQ$89,42,FALSE)/1000</f>
        <v>21.7</v>
      </c>
      <c r="AA66" s="401">
        <f t="shared" si="1"/>
        <v>333.12400000000002</v>
      </c>
      <c r="AB66" s="96"/>
      <c r="AC66" s="97"/>
      <c r="AD66" s="96"/>
      <c r="AE66" s="97"/>
      <c r="AF66" s="96"/>
      <c r="AG66" s="97"/>
    </row>
    <row r="67" spans="1:35" ht="15" hidden="1" customHeight="1" x14ac:dyDescent="0.25">
      <c r="A67" s="5">
        <v>60</v>
      </c>
      <c r="B67" s="5">
        <v>391840</v>
      </c>
      <c r="C67" s="6" t="s">
        <v>205</v>
      </c>
      <c r="D67" s="299">
        <v>0</v>
      </c>
      <c r="E67" s="340">
        <v>0</v>
      </c>
      <c r="F67" s="98"/>
      <c r="G67" s="98"/>
      <c r="H67" s="436">
        <v>0</v>
      </c>
      <c r="I67" s="98"/>
      <c r="J67" s="97"/>
      <c r="K67" s="101">
        <v>0</v>
      </c>
      <c r="L67" s="341">
        <v>0</v>
      </c>
      <c r="M67" s="96">
        <v>0</v>
      </c>
      <c r="N67" s="97">
        <v>0</v>
      </c>
      <c r="O67" s="96">
        <v>0</v>
      </c>
      <c r="P67" s="97">
        <v>0</v>
      </c>
      <c r="Q67" s="96">
        <v>0</v>
      </c>
      <c r="R67" s="97">
        <v>0</v>
      </c>
      <c r="S67" s="96">
        <v>0</v>
      </c>
      <c r="T67" s="97">
        <v>0</v>
      </c>
      <c r="U67" s="96">
        <v>100</v>
      </c>
      <c r="V67" s="97">
        <v>1998.96534</v>
      </c>
      <c r="W67" s="101">
        <v>0</v>
      </c>
      <c r="X67" s="341">
        <v>0</v>
      </c>
      <c r="Y67" s="411">
        <f t="shared" si="0"/>
        <v>1998.96534</v>
      </c>
      <c r="Z67" s="318">
        <f>VLOOKUP(B67,'АПП+Стомат._план'!$B$4:$AQ$89,42,FALSE)/1000</f>
        <v>1998.9653400000002</v>
      </c>
      <c r="AA67" s="401">
        <f t="shared" si="1"/>
        <v>0</v>
      </c>
      <c r="AB67" s="96">
        <v>8</v>
      </c>
      <c r="AC67" s="97">
        <v>167.244</v>
      </c>
      <c r="AD67" s="96">
        <v>4</v>
      </c>
      <c r="AE67" s="97">
        <v>91.984200000000016</v>
      </c>
      <c r="AF67" s="96"/>
      <c r="AG67" s="97"/>
    </row>
    <row r="68" spans="1:35" ht="15" hidden="1" customHeight="1" x14ac:dyDescent="0.25">
      <c r="A68" s="5">
        <v>61</v>
      </c>
      <c r="B68" s="437">
        <v>390002</v>
      </c>
      <c r="C68" s="6" t="s">
        <v>206</v>
      </c>
      <c r="D68" s="299">
        <v>50</v>
      </c>
      <c r="E68" s="340">
        <v>71.198499999999996</v>
      </c>
      <c r="F68" s="98"/>
      <c r="G68" s="98"/>
      <c r="H68" s="436">
        <v>0</v>
      </c>
      <c r="I68" s="98"/>
      <c r="J68" s="97"/>
      <c r="K68" s="101">
        <v>30</v>
      </c>
      <c r="L68" s="341">
        <v>9.4449000000000005</v>
      </c>
      <c r="M68" s="96">
        <v>0</v>
      </c>
      <c r="N68" s="97">
        <v>0</v>
      </c>
      <c r="O68" s="96">
        <v>0</v>
      </c>
      <c r="P68" s="97">
        <v>0</v>
      </c>
      <c r="Q68" s="96">
        <v>0</v>
      </c>
      <c r="R68" s="97">
        <v>0</v>
      </c>
      <c r="S68" s="96">
        <v>0</v>
      </c>
      <c r="T68" s="97">
        <v>0</v>
      </c>
      <c r="U68" s="96"/>
      <c r="V68" s="97"/>
      <c r="W68" s="101">
        <v>0</v>
      </c>
      <c r="X68" s="341">
        <v>0</v>
      </c>
      <c r="Y68" s="411">
        <f t="shared" si="0"/>
        <v>80.6434</v>
      </c>
      <c r="Z68" s="318">
        <f>VLOOKUP(B68,'АПП+Стомат._план'!$B$4:$AQ$89,42,FALSE)/1000</f>
        <v>66.214500000000001</v>
      </c>
      <c r="AA68" s="401">
        <f t="shared" si="1"/>
        <v>14.428899999999999</v>
      </c>
      <c r="AB68" s="96"/>
      <c r="AC68" s="97"/>
      <c r="AD68" s="96"/>
      <c r="AE68" s="97"/>
      <c r="AF68" s="217"/>
      <c r="AG68" s="217"/>
    </row>
    <row r="69" spans="1:35" ht="15.75" hidden="1" customHeight="1" x14ac:dyDescent="0.25">
      <c r="A69" s="5">
        <v>62</v>
      </c>
      <c r="B69" s="5">
        <v>392580</v>
      </c>
      <c r="C69" s="6" t="s">
        <v>71</v>
      </c>
      <c r="D69" s="299">
        <v>0</v>
      </c>
      <c r="E69" s="340">
        <v>0</v>
      </c>
      <c r="F69" s="98"/>
      <c r="G69" s="98"/>
      <c r="H69" s="436">
        <v>0</v>
      </c>
      <c r="I69" s="98">
        <v>30</v>
      </c>
      <c r="J69" s="97">
        <v>9.4449000000000005</v>
      </c>
      <c r="K69" s="101">
        <v>0</v>
      </c>
      <c r="L69" s="341">
        <v>0</v>
      </c>
      <c r="M69" s="96">
        <v>0</v>
      </c>
      <c r="N69" s="97">
        <v>0</v>
      </c>
      <c r="O69" s="96">
        <v>0</v>
      </c>
      <c r="P69" s="97">
        <v>0</v>
      </c>
      <c r="Q69" s="96">
        <v>0</v>
      </c>
      <c r="R69" s="97">
        <v>0</v>
      </c>
      <c r="S69" s="96">
        <v>0</v>
      </c>
      <c r="T69" s="97">
        <v>0</v>
      </c>
      <c r="U69" s="96"/>
      <c r="V69" s="97"/>
      <c r="W69" s="101">
        <v>0</v>
      </c>
      <c r="X69" s="341">
        <v>0</v>
      </c>
      <c r="Y69" s="411">
        <f t="shared" si="0"/>
        <v>0</v>
      </c>
      <c r="Z69" s="318">
        <f>VLOOKUP(B69,'АПП+Стомат._план'!$B$4:$AQ$89,42,FALSE)/1000</f>
        <v>0</v>
      </c>
      <c r="AA69" s="401">
        <f t="shared" si="1"/>
        <v>0</v>
      </c>
      <c r="AB69" s="96"/>
      <c r="AC69" s="97"/>
      <c r="AD69" s="96"/>
      <c r="AE69" s="97"/>
      <c r="AF69" s="217"/>
      <c r="AG69" s="217"/>
    </row>
    <row r="70" spans="1:35" s="236" customFormat="1" ht="15.75" hidden="1" customHeight="1" x14ac:dyDescent="0.25">
      <c r="A70" s="5">
        <v>63</v>
      </c>
      <c r="B70" s="437">
        <v>390001</v>
      </c>
      <c r="C70" s="6" t="s">
        <v>207</v>
      </c>
      <c r="D70" s="299"/>
      <c r="E70" s="340">
        <v>3222.3759</v>
      </c>
      <c r="F70" s="98"/>
      <c r="G70" s="98"/>
      <c r="H70" s="436">
        <v>0</v>
      </c>
      <c r="I70" s="98"/>
      <c r="J70" s="97"/>
      <c r="K70" s="101">
        <v>0</v>
      </c>
      <c r="L70" s="341">
        <v>0</v>
      </c>
      <c r="M70" s="96">
        <v>0</v>
      </c>
      <c r="N70" s="97">
        <v>0</v>
      </c>
      <c r="O70" s="96">
        <v>0</v>
      </c>
      <c r="P70" s="97">
        <v>0</v>
      </c>
      <c r="Q70" s="96">
        <v>0</v>
      </c>
      <c r="R70" s="97">
        <v>0</v>
      </c>
      <c r="S70" s="96">
        <v>0</v>
      </c>
      <c r="T70" s="97">
        <v>0</v>
      </c>
      <c r="U70" s="96"/>
      <c r="V70" s="97"/>
      <c r="W70" s="101">
        <v>0</v>
      </c>
      <c r="X70" s="341">
        <v>0</v>
      </c>
      <c r="Y70" s="411">
        <f t="shared" si="0"/>
        <v>3222.3759</v>
      </c>
      <c r="Z70" s="318">
        <f>VLOOKUP(B70,'АПП+Стомат._план'!$B$4:$AQ$89,42,FALSE)/1000</f>
        <v>0</v>
      </c>
      <c r="AA70" s="401">
        <f t="shared" si="1"/>
        <v>3222.3759</v>
      </c>
      <c r="AB70" s="96"/>
      <c r="AC70" s="97"/>
      <c r="AD70" s="96"/>
      <c r="AE70" s="97"/>
      <c r="AF70" s="217"/>
      <c r="AG70" s="217"/>
    </row>
    <row r="71" spans="1:35" s="236" customFormat="1" ht="15.75" hidden="1" customHeight="1" x14ac:dyDescent="0.25">
      <c r="A71" s="5">
        <v>64</v>
      </c>
      <c r="B71" s="437">
        <v>390010</v>
      </c>
      <c r="C71" s="6" t="s">
        <v>208</v>
      </c>
      <c r="D71" s="299">
        <v>0</v>
      </c>
      <c r="E71" s="340">
        <v>0</v>
      </c>
      <c r="F71" s="98"/>
      <c r="G71" s="98"/>
      <c r="H71" s="436">
        <v>0</v>
      </c>
      <c r="I71" s="98"/>
      <c r="J71" s="97"/>
      <c r="K71" s="101">
        <v>30</v>
      </c>
      <c r="L71" s="341">
        <v>9.4449000000000005</v>
      </c>
      <c r="M71" s="96">
        <v>0</v>
      </c>
      <c r="N71" s="97">
        <v>0</v>
      </c>
      <c r="O71" s="96">
        <v>0</v>
      </c>
      <c r="P71" s="97">
        <v>0</v>
      </c>
      <c r="Q71" s="96">
        <v>0</v>
      </c>
      <c r="R71" s="97">
        <v>0</v>
      </c>
      <c r="S71" s="96">
        <v>0</v>
      </c>
      <c r="T71" s="97">
        <v>0</v>
      </c>
      <c r="U71" s="96"/>
      <c r="V71" s="97"/>
      <c r="W71" s="101">
        <v>0</v>
      </c>
      <c r="X71" s="341">
        <v>0</v>
      </c>
      <c r="Y71" s="411">
        <f t="shared" si="0"/>
        <v>9.4449000000000005</v>
      </c>
      <c r="Z71" s="318">
        <f>VLOOKUP(B71,'АПП+Стомат._план'!$B$4:$AQ$89,42,FALSE)/1000</f>
        <v>0</v>
      </c>
      <c r="AA71" s="401">
        <f t="shared" si="1"/>
        <v>9.4449000000000005</v>
      </c>
      <c r="AB71" s="101"/>
      <c r="AC71" s="217"/>
      <c r="AD71" s="101"/>
      <c r="AE71" s="217"/>
      <c r="AF71" s="217"/>
      <c r="AG71" s="217"/>
    </row>
    <row r="72" spans="1:35" s="236" customFormat="1" ht="15.75" customHeight="1" x14ac:dyDescent="0.25">
      <c r="A72" s="5"/>
      <c r="B72" s="205"/>
      <c r="C72" s="361"/>
      <c r="D72" s="299"/>
      <c r="E72" s="344"/>
      <c r="F72" s="345"/>
      <c r="G72" s="345"/>
      <c r="H72" s="436"/>
      <c r="I72" s="345"/>
      <c r="J72" s="346"/>
      <c r="K72" s="347"/>
      <c r="L72" s="348"/>
      <c r="M72" s="349"/>
      <c r="N72" s="346"/>
      <c r="O72" s="349"/>
      <c r="P72" s="346"/>
      <c r="Q72" s="349"/>
      <c r="R72" s="346"/>
      <c r="S72" s="349"/>
      <c r="T72" s="346"/>
      <c r="U72" s="349"/>
      <c r="V72" s="346"/>
      <c r="W72" s="347"/>
      <c r="X72" s="348"/>
      <c r="Y72" s="412"/>
      <c r="Z72" s="318"/>
      <c r="AA72" s="401"/>
      <c r="AB72" s="96"/>
      <c r="AC72" s="97"/>
      <c r="AD72" s="96"/>
      <c r="AE72" s="97"/>
      <c r="AF72" s="493"/>
      <c r="AG72" s="493"/>
      <c r="AI72" s="491"/>
    </row>
    <row r="73" spans="1:35" s="236" customFormat="1" ht="15.75" customHeight="1" x14ac:dyDescent="0.25">
      <c r="A73" s="5"/>
      <c r="B73" s="5"/>
      <c r="C73" s="91" t="s">
        <v>75</v>
      </c>
      <c r="D73" s="101">
        <f>SUM(D8:D72)</f>
        <v>1494858</v>
      </c>
      <c r="E73" s="341">
        <f t="shared" ref="E73:AE73" si="3">SUM(E8:E72)</f>
        <v>2510677.8770690775</v>
      </c>
      <c r="F73" s="101">
        <f t="shared" si="3"/>
        <v>4089</v>
      </c>
      <c r="G73" s="217">
        <f t="shared" si="3"/>
        <v>363511.95423000003</v>
      </c>
      <c r="H73" s="97">
        <f t="shared" si="3"/>
        <v>157930.53529999999</v>
      </c>
      <c r="I73" s="101">
        <f t="shared" si="3"/>
        <v>2459</v>
      </c>
      <c r="J73" s="217">
        <f t="shared" si="3"/>
        <v>5208.8298000000013</v>
      </c>
      <c r="K73" s="101">
        <f t="shared" si="3"/>
        <v>2900737</v>
      </c>
      <c r="L73" s="341">
        <f t="shared" si="3"/>
        <v>2397236.4523525494</v>
      </c>
      <c r="M73" s="101">
        <f t="shared" si="3"/>
        <v>262996</v>
      </c>
      <c r="N73" s="217">
        <f t="shared" si="3"/>
        <v>768498.99423611606</v>
      </c>
      <c r="O73" s="101">
        <f t="shared" si="3"/>
        <v>78581</v>
      </c>
      <c r="P73" s="217">
        <f t="shared" si="3"/>
        <v>85189.700000000012</v>
      </c>
      <c r="Q73" s="101">
        <f t="shared" si="3"/>
        <v>274189</v>
      </c>
      <c r="R73" s="217">
        <f t="shared" si="3"/>
        <v>562498.70000000007</v>
      </c>
      <c r="S73" s="101">
        <f t="shared" si="3"/>
        <v>270210</v>
      </c>
      <c r="T73" s="217">
        <f t="shared" si="3"/>
        <v>342788.40599</v>
      </c>
      <c r="U73" s="101">
        <f t="shared" si="3"/>
        <v>3050</v>
      </c>
      <c r="V73" s="217">
        <f t="shared" si="3"/>
        <v>60713.300009999999</v>
      </c>
      <c r="W73" s="101">
        <f t="shared" si="3"/>
        <v>542217</v>
      </c>
      <c r="X73" s="341">
        <f t="shared" si="3"/>
        <v>414236.50267999986</v>
      </c>
      <c r="Y73" s="413">
        <f t="shared" si="3"/>
        <v>5382864.1321116267</v>
      </c>
      <c r="Z73" s="410">
        <f t="shared" si="3"/>
        <v>5392709.6544339592</v>
      </c>
      <c r="AA73" s="400">
        <f t="shared" si="3"/>
        <v>-9845.5223223333724</v>
      </c>
      <c r="AB73" s="101">
        <f t="shared" si="3"/>
        <v>173</v>
      </c>
      <c r="AC73" s="217">
        <f t="shared" si="3"/>
        <v>3616.6515000000004</v>
      </c>
      <c r="AD73" s="101">
        <f t="shared" si="3"/>
        <v>95</v>
      </c>
      <c r="AE73" s="217">
        <f t="shared" si="3"/>
        <v>1989.1583250000001</v>
      </c>
      <c r="AF73" s="101">
        <f>SUM(AF8:AF72)</f>
        <v>3200</v>
      </c>
      <c r="AG73" s="217">
        <f>SUM(AG8:AG72)</f>
        <v>3136.5575699999999</v>
      </c>
      <c r="AI73" s="217">
        <f>SUBTOTAL(9,AI20:AI46)</f>
        <v>477563234.54643291</v>
      </c>
    </row>
    <row r="74" spans="1:35" s="363" customFormat="1" ht="16.5" customHeight="1" x14ac:dyDescent="0.25">
      <c r="A74" s="362"/>
      <c r="B74" s="362"/>
      <c r="C74" s="363" t="s">
        <v>228</v>
      </c>
      <c r="D74" s="364">
        <v>287630</v>
      </c>
      <c r="E74" s="365">
        <v>544863.01</v>
      </c>
      <c r="H74" s="366"/>
      <c r="K74" s="364">
        <v>188136</v>
      </c>
      <c r="L74" s="365">
        <v>148139.59045189153</v>
      </c>
      <c r="U74" s="367"/>
      <c r="W74" s="364">
        <v>15266</v>
      </c>
      <c r="X74" s="365">
        <v>15025.435774628437</v>
      </c>
      <c r="Y74" s="365">
        <f>E74+L74+X74</f>
        <v>708028.03622651997</v>
      </c>
      <c r="AB74" s="96"/>
      <c r="AC74" s="97"/>
      <c r="AD74" s="96"/>
      <c r="AE74" s="97"/>
      <c r="AF74" s="236"/>
      <c r="AG74" s="236"/>
    </row>
    <row r="75" spans="1:35" s="375" customFormat="1" ht="16.5" customHeight="1" x14ac:dyDescent="0.25">
      <c r="A75" s="368"/>
      <c r="B75" s="368"/>
      <c r="C75" s="369" t="s">
        <v>229</v>
      </c>
      <c r="D75" s="370">
        <v>63091</v>
      </c>
      <c r="E75" s="371">
        <v>131743.20000000001</v>
      </c>
      <c r="F75" s="370"/>
      <c r="G75" s="372"/>
      <c r="H75" s="373"/>
      <c r="I75" s="370"/>
      <c r="J75" s="372"/>
      <c r="K75" s="370"/>
      <c r="L75" s="371"/>
      <c r="M75" s="370"/>
      <c r="N75" s="372"/>
      <c r="O75" s="370"/>
      <c r="P75" s="372"/>
      <c r="Q75" s="370"/>
      <c r="R75" s="372"/>
      <c r="S75" s="370"/>
      <c r="T75" s="372"/>
      <c r="U75" s="370"/>
      <c r="V75" s="372"/>
      <c r="W75" s="370"/>
      <c r="X75" s="371"/>
      <c r="Y75" s="374">
        <v>131743.19999999998</v>
      </c>
      <c r="AB75" s="101"/>
      <c r="AC75" s="217"/>
      <c r="AD75" s="101"/>
      <c r="AE75" s="217"/>
      <c r="AF75" s="236"/>
      <c r="AG75" s="236"/>
    </row>
    <row r="76" spans="1:35" s="337" customFormat="1" ht="15.75" customHeight="1" x14ac:dyDescent="0.25">
      <c r="A76" s="376"/>
      <c r="B76" s="376"/>
      <c r="C76" s="377" t="s">
        <v>230</v>
      </c>
      <c r="D76" s="378"/>
      <c r="E76" s="379"/>
      <c r="F76" s="378"/>
      <c r="G76" s="380"/>
      <c r="H76" s="381"/>
      <c r="I76" s="378"/>
      <c r="J76" s="380"/>
      <c r="K76" s="378"/>
      <c r="L76" s="382"/>
      <c r="M76" s="378"/>
      <c r="N76" s="380"/>
      <c r="O76" s="378"/>
      <c r="P76" s="380"/>
      <c r="Q76" s="378"/>
      <c r="R76" s="380"/>
      <c r="S76" s="378"/>
      <c r="T76" s="380"/>
      <c r="U76" s="378"/>
      <c r="V76" s="382"/>
      <c r="W76" s="378"/>
      <c r="X76" s="379"/>
      <c r="Y76" s="382"/>
      <c r="AB76" s="68"/>
      <c r="AC76" s="68"/>
      <c r="AD76" s="68"/>
      <c r="AE76" s="68"/>
      <c r="AF76" s="68"/>
      <c r="AG76" s="68"/>
    </row>
    <row r="77" spans="1:35" ht="15.75" customHeight="1" x14ac:dyDescent="0.25">
      <c r="A77" s="205"/>
      <c r="B77" s="205"/>
      <c r="C77" s="236" t="s">
        <v>215</v>
      </c>
      <c r="D77" s="227">
        <f>SUM(D73:D76)</f>
        <v>1845579</v>
      </c>
      <c r="E77" s="383">
        <f t="shared" ref="E77:X77" si="4">SUM(E73:E76)</f>
        <v>3187284.0870690774</v>
      </c>
      <c r="F77" s="227">
        <f t="shared" si="4"/>
        <v>4089</v>
      </c>
      <c r="G77" s="229">
        <f t="shared" si="4"/>
        <v>363511.95423000003</v>
      </c>
      <c r="H77" s="384">
        <f t="shared" si="4"/>
        <v>157930.53529999999</v>
      </c>
      <c r="I77" s="227">
        <f t="shared" si="4"/>
        <v>2459</v>
      </c>
      <c r="J77" s="229">
        <f t="shared" si="4"/>
        <v>5208.8298000000013</v>
      </c>
      <c r="K77" s="227">
        <f>SUM(K73:K76)</f>
        <v>3088873</v>
      </c>
      <c r="L77" s="383">
        <f t="shared" si="4"/>
        <v>2545376.0428044409</v>
      </c>
      <c r="M77" s="229">
        <f t="shared" si="4"/>
        <v>262996</v>
      </c>
      <c r="N77" s="229">
        <f t="shared" si="4"/>
        <v>768498.99423611606</v>
      </c>
      <c r="O77" s="229">
        <f t="shared" si="4"/>
        <v>78581</v>
      </c>
      <c r="P77" s="229">
        <f t="shared" si="4"/>
        <v>85189.700000000012</v>
      </c>
      <c r="Q77" s="229">
        <f t="shared" si="4"/>
        <v>274189</v>
      </c>
      <c r="R77" s="229">
        <f t="shared" si="4"/>
        <v>562498.70000000007</v>
      </c>
      <c r="S77" s="229">
        <f t="shared" si="4"/>
        <v>270210</v>
      </c>
      <c r="T77" s="229">
        <f t="shared" si="4"/>
        <v>342788.40599</v>
      </c>
      <c r="U77" s="227">
        <f>SUM(U73:U76)</f>
        <v>3050</v>
      </c>
      <c r="V77" s="229">
        <f>SUM(V73:V76)</f>
        <v>60713.300009999999</v>
      </c>
      <c r="W77" s="227">
        <f t="shared" si="4"/>
        <v>557483</v>
      </c>
      <c r="X77" s="383">
        <f t="shared" si="4"/>
        <v>429261.93845462828</v>
      </c>
      <c r="Y77" s="383">
        <f>SUM(Y73:Y76)</f>
        <v>6222635.3683381472</v>
      </c>
    </row>
    <row r="78" spans="1:35" s="390" customFormat="1" ht="15.75" customHeight="1" x14ac:dyDescent="0.25">
      <c r="A78" s="385"/>
      <c r="B78" s="385"/>
      <c r="C78" s="33" t="s">
        <v>216</v>
      </c>
      <c r="D78" s="386">
        <v>1845579</v>
      </c>
      <c r="E78" s="387">
        <v>3187499.5</v>
      </c>
      <c r="F78" s="386"/>
      <c r="G78" s="388"/>
      <c r="H78" s="389"/>
      <c r="I78" s="386"/>
      <c r="J78" s="388"/>
      <c r="K78" s="386">
        <f>2818663+270210</f>
        <v>3088873</v>
      </c>
      <c r="L78" s="387">
        <f>2202587.6+342788.4</f>
        <v>2545376</v>
      </c>
      <c r="M78" s="386"/>
      <c r="N78" s="388" t="s">
        <v>231</v>
      </c>
      <c r="O78" s="386"/>
      <c r="P78" s="388"/>
      <c r="Q78" s="386"/>
      <c r="R78" s="388"/>
      <c r="S78" s="386"/>
      <c r="T78" s="388"/>
      <c r="U78" s="386">
        <v>3050</v>
      </c>
      <c r="V78" s="502">
        <v>60713.3</v>
      </c>
      <c r="W78" s="386">
        <v>557483</v>
      </c>
      <c r="X78" s="387">
        <v>429261.9</v>
      </c>
      <c r="Y78" s="387">
        <f>E78+L78+X78+V78</f>
        <v>6222850.7000000002</v>
      </c>
      <c r="AB78" s="68"/>
      <c r="AC78" s="68"/>
      <c r="AD78" s="68"/>
      <c r="AE78" s="68"/>
      <c r="AF78" s="68"/>
      <c r="AG78" s="68"/>
    </row>
    <row r="79" spans="1:35" ht="15.75" customHeight="1" x14ac:dyDescent="0.25">
      <c r="A79" s="205"/>
      <c r="B79" s="205"/>
      <c r="C79" s="226"/>
      <c r="D79" s="227">
        <f>D77-D78</f>
        <v>0</v>
      </c>
      <c r="E79" s="229">
        <f>E77-E78</f>
        <v>-215.41293092258275</v>
      </c>
      <c r="F79" s="321"/>
      <c r="G79" s="321"/>
      <c r="H79" s="321"/>
      <c r="I79" s="321"/>
      <c r="J79" s="321"/>
      <c r="K79" s="227">
        <f t="shared" ref="K79:L79" si="5">K77-K78</f>
        <v>0</v>
      </c>
      <c r="L79" s="383">
        <f t="shared" si="5"/>
        <v>4.2804440949112177E-2</v>
      </c>
      <c r="M79" s="321"/>
      <c r="N79" s="321"/>
      <c r="O79" s="321"/>
      <c r="P79" s="321"/>
      <c r="Q79" s="321"/>
      <c r="R79" s="321"/>
      <c r="S79" s="321"/>
      <c r="T79" s="321"/>
      <c r="U79" s="321"/>
      <c r="V79" s="321"/>
      <c r="W79" s="321">
        <f t="shared" ref="W79:Y79" si="6">W77-W78</f>
        <v>0</v>
      </c>
      <c r="X79" s="391">
        <f t="shared" si="6"/>
        <v>3.8454628258477896E-2</v>
      </c>
      <c r="Y79" s="391">
        <f t="shared" si="6"/>
        <v>-215.33166185300797</v>
      </c>
    </row>
    <row r="80" spans="1:35" ht="21.75" customHeight="1" x14ac:dyDescent="0.25">
      <c r="B80" s="202">
        <v>1</v>
      </c>
      <c r="C80" s="202">
        <v>2</v>
      </c>
      <c r="D80" s="321">
        <v>3</v>
      </c>
      <c r="E80" s="202">
        <v>4</v>
      </c>
      <c r="F80" s="202">
        <v>5</v>
      </c>
      <c r="G80" s="321">
        <v>6</v>
      </c>
      <c r="H80" s="202">
        <v>7</v>
      </c>
      <c r="I80" s="202">
        <v>8</v>
      </c>
      <c r="J80" s="321">
        <v>9</v>
      </c>
      <c r="K80" s="202">
        <v>10</v>
      </c>
      <c r="L80" s="202">
        <v>11</v>
      </c>
      <c r="M80" s="321">
        <v>12</v>
      </c>
      <c r="N80" s="202">
        <v>13</v>
      </c>
      <c r="O80" s="202">
        <v>14</v>
      </c>
      <c r="P80" s="321">
        <v>15</v>
      </c>
      <c r="Q80" s="202">
        <v>16</v>
      </c>
      <c r="R80" s="202">
        <v>17</v>
      </c>
      <c r="S80" s="321">
        <v>18</v>
      </c>
      <c r="T80" s="202">
        <v>19</v>
      </c>
      <c r="U80" s="202">
        <v>20</v>
      </c>
      <c r="V80" s="321">
        <v>21</v>
      </c>
      <c r="W80" s="202">
        <v>22</v>
      </c>
      <c r="X80" s="202">
        <v>23</v>
      </c>
      <c r="Y80" s="321">
        <v>24</v>
      </c>
    </row>
    <row r="81" spans="3:12" ht="21.75" customHeight="1" x14ac:dyDescent="0.25">
      <c r="C81" s="390"/>
      <c r="E81" s="441"/>
      <c r="H81" s="59"/>
    </row>
    <row r="82" spans="3:12" ht="21.75" customHeight="1" x14ac:dyDescent="0.25">
      <c r="C82" s="68" t="s">
        <v>265</v>
      </c>
      <c r="K82" s="497">
        <f>M73+O73+Q73</f>
        <v>615766</v>
      </c>
      <c r="L82" s="440">
        <f>N73+P73+R73</f>
        <v>1416187.3942361162</v>
      </c>
    </row>
  </sheetData>
  <autoFilter ref="A7:AG71" xr:uid="{38793371-FC3A-4DCC-BE29-DC43FF4CA990}">
    <filterColumn colId="2">
      <colorFilter dxfId="2" cellColor="0"/>
    </filterColumn>
    <sortState xmlns:xlrd2="http://schemas.microsoft.com/office/spreadsheetml/2017/richdata2" ref="A9:AG71">
      <sortCondition sortBy="fontColor" ref="C7:C71" dxfId="3"/>
    </sortState>
  </autoFilter>
  <mergeCells count="17">
    <mergeCell ref="U6:V6"/>
    <mergeCell ref="A6:A7"/>
    <mergeCell ref="B6:B7"/>
    <mergeCell ref="C6:C7"/>
    <mergeCell ref="D6:E6"/>
    <mergeCell ref="F6:G6"/>
    <mergeCell ref="I6:J6"/>
    <mergeCell ref="K6:L6"/>
    <mergeCell ref="M6:N6"/>
    <mergeCell ref="O6:P6"/>
    <mergeCell ref="Q6:R6"/>
    <mergeCell ref="S6:T6"/>
    <mergeCell ref="W6:X6"/>
    <mergeCell ref="Y6:Y7"/>
    <mergeCell ref="AB6:AC6"/>
    <mergeCell ref="AD6:AE6"/>
    <mergeCell ref="AF6:AG6"/>
  </mergeCells>
  <pageMargins left="0.78740157480314965" right="0.39370078740157483" top="0.78740157480314965" bottom="0.78740157480314965" header="0" footer="0"/>
  <pageSetup paperSize="9" scale="77" fitToHeight="0" orientation="landscape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4DD9-48AB-4089-82B1-0E6E7F0C3DE5}">
  <dimension ref="A1:AU105"/>
  <sheetViews>
    <sheetView zoomScale="85" zoomScaleNormal="85" workbookViewId="0">
      <pane xSplit="3" ySplit="3" topLeftCell="D7" activePane="bottomRight" state="frozen"/>
      <selection pane="topRight" activeCell="D1" sqref="D1"/>
      <selection pane="bottomLeft" activeCell="A4" sqref="A4"/>
      <selection pane="bottomRight" activeCell="I16" sqref="I16"/>
    </sheetView>
  </sheetViews>
  <sheetFormatPr defaultColWidth="9.140625" defaultRowHeight="15" x14ac:dyDescent="0.25"/>
  <cols>
    <col min="1" max="1" width="4.140625" style="259" customWidth="1"/>
    <col min="2" max="2" width="8.5703125" style="259" customWidth="1"/>
    <col min="3" max="3" width="32.140625" style="68" customWidth="1"/>
    <col min="4" max="4" width="18.5703125" style="68" bestFit="1" customWidth="1"/>
    <col min="5" max="5" width="16.5703125" style="324" bestFit="1" customWidth="1"/>
    <col min="6" max="6" width="11" style="259" bestFit="1" customWidth="1"/>
    <col min="7" max="7" width="15.42578125" style="259" customWidth="1"/>
    <col min="8" max="8" width="11" style="259" bestFit="1" customWidth="1"/>
    <col min="9" max="9" width="16" style="259" customWidth="1"/>
    <col min="10" max="10" width="9.7109375" style="259" bestFit="1" customWidth="1"/>
    <col min="11" max="11" width="14.7109375" style="259" customWidth="1"/>
    <col min="12" max="12" width="10" style="327" customWidth="1"/>
    <col min="13" max="13" width="14.85546875" style="328" customWidth="1"/>
    <col min="14" max="14" width="8.7109375" style="259" bestFit="1" customWidth="1"/>
    <col min="15" max="15" width="15.5703125" style="259" customWidth="1"/>
    <col min="16" max="16" width="15.140625" style="259" customWidth="1"/>
    <col min="17" max="17" width="11.42578125" style="259" bestFit="1" customWidth="1"/>
    <col min="18" max="18" width="15" style="259" customWidth="1"/>
    <col min="19" max="19" width="8.7109375" style="259" bestFit="1" customWidth="1"/>
    <col min="20" max="20" width="13.85546875" style="259" customWidth="1"/>
    <col min="21" max="21" width="9.7109375" style="260" customWidth="1"/>
    <col min="22" max="22" width="14.28515625" style="260" customWidth="1"/>
    <col min="23" max="23" width="9.140625" style="260" customWidth="1"/>
    <col min="24" max="24" width="15.7109375" style="260" customWidth="1"/>
    <col min="25" max="25" width="9.42578125" style="260" customWidth="1"/>
    <col min="26" max="26" width="14.7109375" style="260" customWidth="1"/>
    <col min="27" max="27" width="11.5703125" style="260" customWidth="1"/>
    <col min="28" max="28" width="16.140625" style="260" customWidth="1"/>
    <col min="29" max="29" width="9.140625" style="130" bestFit="1" customWidth="1"/>
    <col min="30" max="30" width="16.5703125" style="319" bestFit="1" customWidth="1"/>
    <col min="31" max="31" width="9.140625" style="319" bestFit="1" customWidth="1"/>
    <col min="32" max="32" width="16.5703125" style="319" bestFit="1" customWidth="1"/>
    <col min="33" max="33" width="8.7109375" style="319" bestFit="1" customWidth="1"/>
    <col min="34" max="34" width="14.42578125" style="319" customWidth="1"/>
    <col min="35" max="35" width="8.5703125" style="329" customWidth="1"/>
    <col min="36" max="36" width="12.5703125" style="329" customWidth="1"/>
    <col min="37" max="37" width="12.140625" style="330" customWidth="1"/>
    <col min="38" max="38" width="18.28515625" style="330" customWidth="1"/>
    <col min="39" max="39" width="18.5703125" style="329" bestFit="1" customWidth="1"/>
    <col min="40" max="40" width="17.140625" style="126" customWidth="1"/>
    <col min="41" max="41" width="16.5703125" style="319" customWidth="1"/>
    <col min="42" max="42" width="6.85546875" style="259" customWidth="1"/>
    <col min="43" max="43" width="17.85546875" style="336" customWidth="1"/>
    <col min="44" max="44" width="18.28515625" style="259" customWidth="1"/>
    <col min="45" max="45" width="14.7109375" style="329" customWidth="1"/>
    <col min="46" max="46" width="5.7109375" style="259" customWidth="1"/>
    <col min="47" max="47" width="15.28515625" style="517" customWidth="1"/>
    <col min="48" max="16384" width="9.140625" style="259"/>
  </cols>
  <sheetData>
    <row r="1" spans="1:47" s="68" customFormat="1" ht="39.75" customHeight="1" x14ac:dyDescent="0.25">
      <c r="A1" s="620" t="s">
        <v>4</v>
      </c>
      <c r="B1" s="620" t="s">
        <v>163</v>
      </c>
      <c r="C1" s="620" t="s">
        <v>162</v>
      </c>
      <c r="D1" s="239" t="s">
        <v>164</v>
      </c>
      <c r="E1" s="240" t="s">
        <v>154</v>
      </c>
      <c r="F1" s="622" t="s">
        <v>161</v>
      </c>
      <c r="G1" s="623"/>
      <c r="H1" s="622" t="s">
        <v>157</v>
      </c>
      <c r="I1" s="623"/>
      <c r="J1" s="618" t="s">
        <v>232</v>
      </c>
      <c r="K1" s="619"/>
      <c r="L1" s="605" t="s">
        <v>218</v>
      </c>
      <c r="M1" s="606"/>
      <c r="N1" s="615" t="s">
        <v>158</v>
      </c>
      <c r="O1" s="616"/>
      <c r="P1" s="241" t="s">
        <v>159</v>
      </c>
      <c r="Q1" s="605" t="s">
        <v>224</v>
      </c>
      <c r="R1" s="606"/>
      <c r="S1" s="607" t="s">
        <v>212</v>
      </c>
      <c r="T1" s="617"/>
      <c r="U1" s="605" t="s">
        <v>155</v>
      </c>
      <c r="V1" s="606"/>
      <c r="W1" s="607" t="s">
        <v>210</v>
      </c>
      <c r="X1" s="617"/>
      <c r="Y1" s="605" t="s">
        <v>152</v>
      </c>
      <c r="Z1" s="606"/>
      <c r="AA1" s="607" t="s">
        <v>188</v>
      </c>
      <c r="AB1" s="617"/>
      <c r="AC1" s="609" t="s">
        <v>150</v>
      </c>
      <c r="AD1" s="610"/>
      <c r="AE1" s="609" t="s">
        <v>149</v>
      </c>
      <c r="AF1" s="610"/>
      <c r="AG1" s="609" t="s">
        <v>148</v>
      </c>
      <c r="AH1" s="610"/>
      <c r="AI1" s="613" t="s">
        <v>221</v>
      </c>
      <c r="AJ1" s="613"/>
      <c r="AK1" s="613"/>
      <c r="AL1" s="613"/>
      <c r="AM1" s="614"/>
      <c r="AN1" s="242" t="s">
        <v>75</v>
      </c>
      <c r="AO1" s="243" t="s">
        <v>166</v>
      </c>
      <c r="AP1" s="202"/>
      <c r="AQ1" s="244" t="s">
        <v>172</v>
      </c>
      <c r="AR1" s="202" t="s">
        <v>178</v>
      </c>
      <c r="AS1" s="337" t="s">
        <v>213</v>
      </c>
      <c r="AU1" s="514" t="s">
        <v>170</v>
      </c>
    </row>
    <row r="2" spans="1:47" s="254" customFormat="1" ht="41.45" customHeight="1" x14ac:dyDescent="0.25">
      <c r="A2" s="621"/>
      <c r="B2" s="621"/>
      <c r="C2" s="621"/>
      <c r="D2" s="248" t="s">
        <v>147</v>
      </c>
      <c r="E2" s="249" t="s">
        <v>147</v>
      </c>
      <c r="F2" s="248" t="s">
        <v>12</v>
      </c>
      <c r="G2" s="248" t="s">
        <v>147</v>
      </c>
      <c r="H2" s="248" t="s">
        <v>12</v>
      </c>
      <c r="I2" s="248" t="s">
        <v>147</v>
      </c>
      <c r="J2" s="248" t="s">
        <v>12</v>
      </c>
      <c r="K2" s="248" t="s">
        <v>147</v>
      </c>
      <c r="L2" s="250" t="s">
        <v>12</v>
      </c>
      <c r="M2" s="251" t="s">
        <v>147</v>
      </c>
      <c r="N2" s="248" t="s">
        <v>12</v>
      </c>
      <c r="O2" s="248" t="s">
        <v>147</v>
      </c>
      <c r="P2" s="248" t="s">
        <v>147</v>
      </c>
      <c r="Q2" s="250" t="s">
        <v>12</v>
      </c>
      <c r="R2" s="250" t="s">
        <v>147</v>
      </c>
      <c r="S2" s="248" t="s">
        <v>12</v>
      </c>
      <c r="T2" s="248" t="s">
        <v>147</v>
      </c>
      <c r="U2" s="250" t="s">
        <v>12</v>
      </c>
      <c r="V2" s="250" t="s">
        <v>147</v>
      </c>
      <c r="W2" s="250" t="s">
        <v>12</v>
      </c>
      <c r="X2" s="250" t="s">
        <v>147</v>
      </c>
      <c r="Y2" s="250" t="s">
        <v>12</v>
      </c>
      <c r="Z2" s="250" t="s">
        <v>147</v>
      </c>
      <c r="AA2" s="250" t="s">
        <v>12</v>
      </c>
      <c r="AB2" s="250" t="s">
        <v>147</v>
      </c>
      <c r="AC2" s="252" t="s">
        <v>12</v>
      </c>
      <c r="AD2" s="252" t="s">
        <v>147</v>
      </c>
      <c r="AE2" s="252" t="s">
        <v>12</v>
      </c>
      <c r="AF2" s="252" t="s">
        <v>147</v>
      </c>
      <c r="AG2" s="252" t="s">
        <v>12</v>
      </c>
      <c r="AH2" s="252" t="s">
        <v>147</v>
      </c>
      <c r="AI2" s="72" t="s">
        <v>220</v>
      </c>
      <c r="AJ2" s="72" t="s">
        <v>219</v>
      </c>
      <c r="AK2" s="253" t="s">
        <v>222</v>
      </c>
      <c r="AL2" s="72" t="s">
        <v>223</v>
      </c>
      <c r="AM2" s="72" t="s">
        <v>147</v>
      </c>
      <c r="AN2" s="248" t="s">
        <v>147</v>
      </c>
      <c r="AO2" s="252" t="s">
        <v>147</v>
      </c>
      <c r="AQ2" s="248" t="s">
        <v>147</v>
      </c>
      <c r="AR2" s="248" t="s">
        <v>147</v>
      </c>
      <c r="AS2" s="338"/>
      <c r="AU2" s="515" t="s">
        <v>147</v>
      </c>
    </row>
    <row r="3" spans="1:47" ht="18.75" customHeight="1" x14ac:dyDescent="0.25">
      <c r="A3" s="247"/>
      <c r="B3" s="256">
        <v>1</v>
      </c>
      <c r="C3" s="257">
        <v>2</v>
      </c>
      <c r="D3" s="256">
        <v>3</v>
      </c>
      <c r="E3" s="257">
        <v>4</v>
      </c>
      <c r="F3" s="256">
        <v>5</v>
      </c>
      <c r="G3" s="257">
        <v>6</v>
      </c>
      <c r="H3" s="256">
        <v>7</v>
      </c>
      <c r="I3" s="257">
        <v>8</v>
      </c>
      <c r="J3" s="256">
        <v>9</v>
      </c>
      <c r="K3" s="257">
        <v>10</v>
      </c>
      <c r="L3" s="256">
        <v>11</v>
      </c>
      <c r="M3" s="257">
        <v>12</v>
      </c>
      <c r="N3" s="256">
        <v>13</v>
      </c>
      <c r="O3" s="257">
        <v>14</v>
      </c>
      <c r="P3" s="256">
        <v>15</v>
      </c>
      <c r="Q3" s="257">
        <v>16</v>
      </c>
      <c r="R3" s="256">
        <v>17</v>
      </c>
      <c r="S3" s="257">
        <v>18</v>
      </c>
      <c r="T3" s="256">
        <v>19</v>
      </c>
      <c r="U3" s="257">
        <v>20</v>
      </c>
      <c r="V3" s="256">
        <v>21</v>
      </c>
      <c r="W3" s="257">
        <v>22</v>
      </c>
      <c r="X3" s="256">
        <v>23</v>
      </c>
      <c r="Y3" s="257">
        <v>24</v>
      </c>
      <c r="Z3" s="256">
        <v>25</v>
      </c>
      <c r="AA3" s="257">
        <v>26</v>
      </c>
      <c r="AB3" s="256">
        <v>27</v>
      </c>
      <c r="AC3" s="257">
        <v>28</v>
      </c>
      <c r="AD3" s="256">
        <v>29</v>
      </c>
      <c r="AE3" s="257">
        <v>30</v>
      </c>
      <c r="AF3" s="256">
        <v>31</v>
      </c>
      <c r="AG3" s="257">
        <v>32</v>
      </c>
      <c r="AH3" s="256">
        <v>33</v>
      </c>
      <c r="AI3" s="257">
        <v>34</v>
      </c>
      <c r="AJ3" s="256">
        <v>35</v>
      </c>
      <c r="AK3" s="257">
        <v>36</v>
      </c>
      <c r="AL3" s="256">
        <v>37</v>
      </c>
      <c r="AM3" s="257">
        <v>38</v>
      </c>
      <c r="AN3" s="256">
        <v>39</v>
      </c>
      <c r="AO3" s="257">
        <v>40</v>
      </c>
      <c r="AP3" s="257"/>
      <c r="AQ3" s="257">
        <v>42</v>
      </c>
      <c r="AR3" s="257">
        <v>43</v>
      </c>
      <c r="AS3" s="257"/>
      <c r="AT3" s="257"/>
      <c r="AU3" s="516">
        <v>46</v>
      </c>
    </row>
    <row r="4" spans="1:47" ht="18" customHeight="1" x14ac:dyDescent="0.25">
      <c r="A4" s="261">
        <v>1</v>
      </c>
      <c r="B4" s="5">
        <v>390930</v>
      </c>
      <c r="C4" s="6" t="s">
        <v>180</v>
      </c>
      <c r="D4" s="262"/>
      <c r="E4" s="263"/>
      <c r="F4" s="264"/>
      <c r="G4" s="262"/>
      <c r="H4" s="264"/>
      <c r="I4" s="262"/>
      <c r="J4" s="264"/>
      <c r="K4" s="262"/>
      <c r="L4" s="265">
        <v>0</v>
      </c>
      <c r="M4" s="266">
        <v>0</v>
      </c>
      <c r="N4" s="264"/>
      <c r="O4" s="262"/>
      <c r="P4" s="267">
        <v>0</v>
      </c>
      <c r="Q4" s="494">
        <f>VLOOKUP($B4,'АПП Баз'!$B$8:$X$73,10,FALSE)+VLOOKUP($B4,'АПП Баз'!$B$8:$X$73,22,FALSE)</f>
        <v>19189</v>
      </c>
      <c r="R4" s="495">
        <f>(VLOOKUP($B4,'АПП Баз'!$B$8:$X$73,11,FALSE)+VLOOKUP($B4,'АПП Баз'!$B$8:$X$73,23,FALSE))*1000</f>
        <v>15202192.5</v>
      </c>
      <c r="S4" s="264"/>
      <c r="T4" s="262"/>
      <c r="U4" s="268">
        <v>0</v>
      </c>
      <c r="V4" s="269">
        <v>0</v>
      </c>
      <c r="W4" s="268">
        <v>0</v>
      </c>
      <c r="X4" s="269">
        <v>0</v>
      </c>
      <c r="Y4" s="268">
        <v>0</v>
      </c>
      <c r="Z4" s="269">
        <v>0</v>
      </c>
      <c r="AA4" s="268">
        <v>0</v>
      </c>
      <c r="AB4" s="269">
        <v>0</v>
      </c>
      <c r="AC4" s="270">
        <v>0</v>
      </c>
      <c r="AD4" s="271">
        <v>0</v>
      </c>
      <c r="AE4" s="270">
        <v>0</v>
      </c>
      <c r="AF4" s="271">
        <v>0</v>
      </c>
      <c r="AG4" s="270">
        <v>0</v>
      </c>
      <c r="AH4" s="271">
        <v>0</v>
      </c>
      <c r="AI4" s="272">
        <f>L4+N4</f>
        <v>0</v>
      </c>
      <c r="AJ4" s="272">
        <f t="shared" ref="AJ4:AJ68" si="0">Q4+S4+U4+W4+Y4+AA4+AE4+AG4</f>
        <v>19189</v>
      </c>
      <c r="AK4" s="273">
        <f>U4+Y4+AA4</f>
        <v>0</v>
      </c>
      <c r="AL4" s="274">
        <f>V4+Z4+AB4</f>
        <v>0</v>
      </c>
      <c r="AM4" s="275">
        <f t="shared" ref="AM4:AM68" si="1">R4+M4+O4+P4+T4+V4+X4+Z4+AB4+AD4+AF4+AH4</f>
        <v>15202192.5</v>
      </c>
      <c r="AN4" s="276">
        <f>D4+E4+AM4</f>
        <v>15202192.5</v>
      </c>
      <c r="AO4" s="277">
        <f t="shared" ref="AO4:AO68" si="2">AM4-P4</f>
        <v>15202192.5</v>
      </c>
      <c r="AP4" s="331"/>
      <c r="AQ4" s="278">
        <f>AN4-AH4-AF4-AD4</f>
        <v>15202192.5</v>
      </c>
      <c r="AR4" s="331">
        <f>IFERROR((VLOOKUP(B4,'АПП Баз'!$B$8:$Y$72,24,FALSE)*1000),0)</f>
        <v>37015831.23998858</v>
      </c>
      <c r="AS4" s="334">
        <f t="shared" ref="AS4:AS42" si="3">AQ4-AR4</f>
        <v>-21813638.73998858</v>
      </c>
    </row>
    <row r="5" spans="1:47" ht="18" customHeight="1" x14ac:dyDescent="0.25">
      <c r="A5" s="261">
        <v>2</v>
      </c>
      <c r="B5" s="5">
        <v>390800</v>
      </c>
      <c r="C5" s="6" t="s">
        <v>89</v>
      </c>
      <c r="D5" s="282"/>
      <c r="E5" s="263"/>
      <c r="F5" s="283"/>
      <c r="G5" s="282"/>
      <c r="H5" s="264"/>
      <c r="I5" s="262"/>
      <c r="J5" s="264"/>
      <c r="K5" s="262"/>
      <c r="L5" s="265">
        <f>1300</f>
        <v>1300</v>
      </c>
      <c r="M5" s="266">
        <f>1721577</f>
        <v>1721577</v>
      </c>
      <c r="N5" s="264"/>
      <c r="O5" s="262"/>
      <c r="P5" s="267">
        <v>0</v>
      </c>
      <c r="Q5" s="494">
        <f>VLOOKUP($B5,'АПП Баз'!$B$8:$X$73,10,FALSE)+VLOOKUP($B5,'АПП Баз'!$B$8:$X$73,22,FALSE)</f>
        <v>90722</v>
      </c>
      <c r="R5" s="495">
        <f>(VLOOKUP($B5,'АПП Баз'!$B$8:$X$73,11,FALSE)+VLOOKUP($B5,'АПП Баз'!$B$8:$X$73,23,FALSE))*1000</f>
        <v>78874166.919999987</v>
      </c>
      <c r="S5" s="264"/>
      <c r="T5" s="262"/>
      <c r="U5" s="268">
        <v>0</v>
      </c>
      <c r="V5" s="269">
        <v>0</v>
      </c>
      <c r="W5" s="268">
        <v>0</v>
      </c>
      <c r="X5" s="269">
        <v>0</v>
      </c>
      <c r="Y5" s="268">
        <v>0</v>
      </c>
      <c r="Z5" s="269">
        <v>0</v>
      </c>
      <c r="AA5" s="268">
        <v>0</v>
      </c>
      <c r="AB5" s="269">
        <v>0</v>
      </c>
      <c r="AC5" s="270">
        <v>0</v>
      </c>
      <c r="AD5" s="271">
        <v>0</v>
      </c>
      <c r="AE5" s="270">
        <v>0</v>
      </c>
      <c r="AF5" s="271">
        <v>0</v>
      </c>
      <c r="AG5" s="270">
        <v>0</v>
      </c>
      <c r="AH5" s="271">
        <v>0</v>
      </c>
      <c r="AI5" s="272">
        <f t="shared" ref="AI5:AI69" si="4">L5+N5</f>
        <v>1300</v>
      </c>
      <c r="AJ5" s="272">
        <f t="shared" si="0"/>
        <v>90722</v>
      </c>
      <c r="AK5" s="273">
        <f t="shared" ref="AK5:AL69" si="5">U5+Y5+AA5</f>
        <v>0</v>
      </c>
      <c r="AL5" s="274">
        <f t="shared" si="5"/>
        <v>0</v>
      </c>
      <c r="AM5" s="275">
        <f>R5+M5+O5+P5+T5+V5+X5+Z5+AB5+AD5+AF5+AH5</f>
        <v>80595743.919999987</v>
      </c>
      <c r="AN5" s="276">
        <f t="shared" ref="AN5:AN69" si="6">D5+E5+AM5</f>
        <v>80595743.919999987</v>
      </c>
      <c r="AO5" s="277">
        <f>AM5-P5</f>
        <v>80595743.919999987</v>
      </c>
      <c r="AP5" s="331"/>
      <c r="AQ5" s="278">
        <f t="shared" ref="AQ5:AQ69" si="7">AN5-AH5-AF5-AD5</f>
        <v>80595743.919999987</v>
      </c>
      <c r="AR5" s="331">
        <f>IFERROR((VLOOKUP(B5,'АПП Баз'!$B$8:$Y$72,24,FALSE)*1000),0)</f>
        <v>118202609.38999942</v>
      </c>
      <c r="AS5" s="334">
        <f t="shared" si="3"/>
        <v>-37606865.469999433</v>
      </c>
    </row>
    <row r="6" spans="1:47" ht="18" customHeight="1" x14ac:dyDescent="0.25">
      <c r="A6" s="261">
        <v>3</v>
      </c>
      <c r="B6" s="5">
        <v>391100</v>
      </c>
      <c r="C6" s="6" t="s">
        <v>103</v>
      </c>
      <c r="D6" s="262"/>
      <c r="E6" s="263"/>
      <c r="F6" s="264"/>
      <c r="G6" s="262"/>
      <c r="H6" s="264"/>
      <c r="I6" s="262"/>
      <c r="J6" s="264"/>
      <c r="K6" s="262"/>
      <c r="L6" s="265">
        <v>0</v>
      </c>
      <c r="M6" s="266">
        <v>0</v>
      </c>
      <c r="N6" s="264"/>
      <c r="O6" s="262"/>
      <c r="P6" s="267">
        <v>28661360</v>
      </c>
      <c r="Q6" s="494">
        <f>VLOOKUP($B6,'АПП Баз'!$B$8:$X$73,10,FALSE)+VLOOKUP($B6,'АПП Баз'!$B$8:$X$73,22,FALSE)</f>
        <v>5071</v>
      </c>
      <c r="R6" s="495">
        <f>(VLOOKUP($B6,'АПП Баз'!$B$8:$X$73,11,FALSE)+VLOOKUP($B6,'АПП Баз'!$B$8:$X$73,23,FALSE))*1000</f>
        <v>3386768.77</v>
      </c>
      <c r="S6" s="264"/>
      <c r="T6" s="262"/>
      <c r="U6" s="268">
        <v>0</v>
      </c>
      <c r="V6" s="269">
        <v>0</v>
      </c>
      <c r="W6" s="268">
        <v>0</v>
      </c>
      <c r="X6" s="269">
        <v>0</v>
      </c>
      <c r="Y6" s="268">
        <v>0</v>
      </c>
      <c r="Z6" s="269">
        <v>0</v>
      </c>
      <c r="AA6" s="268">
        <v>0</v>
      </c>
      <c r="AB6" s="269">
        <v>0</v>
      </c>
      <c r="AC6" s="270">
        <v>0</v>
      </c>
      <c r="AD6" s="271">
        <v>0</v>
      </c>
      <c r="AE6" s="270">
        <v>0</v>
      </c>
      <c r="AF6" s="271">
        <v>0</v>
      </c>
      <c r="AG6" s="270">
        <v>0</v>
      </c>
      <c r="AH6" s="271">
        <v>0</v>
      </c>
      <c r="AI6" s="272">
        <f t="shared" si="4"/>
        <v>0</v>
      </c>
      <c r="AJ6" s="272">
        <f t="shared" si="0"/>
        <v>5071</v>
      </c>
      <c r="AK6" s="273">
        <f t="shared" si="5"/>
        <v>0</v>
      </c>
      <c r="AL6" s="274">
        <f t="shared" si="5"/>
        <v>0</v>
      </c>
      <c r="AM6" s="275">
        <f t="shared" si="1"/>
        <v>32048128.77</v>
      </c>
      <c r="AN6" s="276">
        <f t="shared" si="6"/>
        <v>32048128.77</v>
      </c>
      <c r="AO6" s="277">
        <f t="shared" si="2"/>
        <v>3386768.7699999996</v>
      </c>
      <c r="AP6" s="331"/>
      <c r="AQ6" s="278">
        <f t="shared" si="7"/>
        <v>32048128.77</v>
      </c>
      <c r="AR6" s="331">
        <f>IFERROR((VLOOKUP(B6,'АПП Баз'!$B$8:$Y$72,24,FALSE)*1000),0)</f>
        <v>21541169.929998908</v>
      </c>
      <c r="AS6" s="334">
        <f t="shared" si="3"/>
        <v>10506958.840001091</v>
      </c>
    </row>
    <row r="7" spans="1:47" ht="18" customHeight="1" x14ac:dyDescent="0.25">
      <c r="A7" s="261">
        <v>4</v>
      </c>
      <c r="B7" s="5">
        <v>390470</v>
      </c>
      <c r="C7" s="6" t="s">
        <v>88</v>
      </c>
      <c r="D7" s="262"/>
      <c r="E7" s="263"/>
      <c r="F7" s="264"/>
      <c r="G7" s="262"/>
      <c r="H7" s="264"/>
      <c r="I7" s="262"/>
      <c r="J7" s="264"/>
      <c r="K7" s="262"/>
      <c r="L7" s="265">
        <v>10200</v>
      </c>
      <c r="M7" s="266">
        <v>13507757.999999985</v>
      </c>
      <c r="N7" s="264"/>
      <c r="O7" s="262"/>
      <c r="P7" s="267">
        <v>0</v>
      </c>
      <c r="Q7" s="494">
        <f>VLOOKUP($B7,'АПП Баз'!$B$8:$X$73,10,FALSE)+VLOOKUP($B7,'АПП Баз'!$B$8:$X$73,22,FALSE)</f>
        <v>173923</v>
      </c>
      <c r="R7" s="495">
        <f>(VLOOKUP($B7,'АПП Баз'!$B$8:$X$73,11,FALSE)+VLOOKUP($B7,'АПП Баз'!$B$8:$X$73,23,FALSE))*1000</f>
        <v>130774485.34999999</v>
      </c>
      <c r="S7" s="264"/>
      <c r="T7" s="262"/>
      <c r="U7" s="268">
        <v>0</v>
      </c>
      <c r="V7" s="269">
        <v>0</v>
      </c>
      <c r="W7" s="268">
        <v>0</v>
      </c>
      <c r="X7" s="269">
        <v>0</v>
      </c>
      <c r="Y7" s="268">
        <v>0</v>
      </c>
      <c r="Z7" s="269">
        <v>0</v>
      </c>
      <c r="AA7" s="268">
        <v>0</v>
      </c>
      <c r="AB7" s="269">
        <v>0</v>
      </c>
      <c r="AC7" s="270">
        <v>0</v>
      </c>
      <c r="AD7" s="271">
        <v>0</v>
      </c>
      <c r="AE7" s="270">
        <v>0</v>
      </c>
      <c r="AF7" s="271">
        <v>0</v>
      </c>
      <c r="AG7" s="270">
        <v>0</v>
      </c>
      <c r="AH7" s="271">
        <v>0</v>
      </c>
      <c r="AI7" s="272">
        <f t="shared" si="4"/>
        <v>10200</v>
      </c>
      <c r="AJ7" s="272">
        <f t="shared" si="0"/>
        <v>173923</v>
      </c>
      <c r="AK7" s="273">
        <f t="shared" si="5"/>
        <v>0</v>
      </c>
      <c r="AL7" s="274">
        <f t="shared" si="5"/>
        <v>0</v>
      </c>
      <c r="AM7" s="275">
        <f t="shared" si="1"/>
        <v>144282243.34999996</v>
      </c>
      <c r="AN7" s="276">
        <f t="shared" si="6"/>
        <v>144282243.34999996</v>
      </c>
      <c r="AO7" s="277">
        <f>AM7-P7</f>
        <v>144282243.34999996</v>
      </c>
      <c r="AP7" s="331"/>
      <c r="AQ7" s="278">
        <f t="shared" si="7"/>
        <v>144282243.34999996</v>
      </c>
      <c r="AR7" s="331">
        <f>IFERROR((VLOOKUP(B7,'АПП Баз'!$B$8:$Y$72,24,FALSE)*1000),0)</f>
        <v>378614873.44997281</v>
      </c>
      <c r="AS7" s="334">
        <f t="shared" si="3"/>
        <v>-234332630.09997284</v>
      </c>
    </row>
    <row r="8" spans="1:47" ht="18" customHeight="1" x14ac:dyDescent="0.25">
      <c r="A8" s="261">
        <v>5</v>
      </c>
      <c r="B8" s="5">
        <v>390762</v>
      </c>
      <c r="C8" s="6" t="s">
        <v>111</v>
      </c>
      <c r="D8" s="262"/>
      <c r="E8" s="263"/>
      <c r="F8" s="264"/>
      <c r="G8" s="262"/>
      <c r="H8" s="264"/>
      <c r="I8" s="262"/>
      <c r="J8" s="264"/>
      <c r="K8" s="262"/>
      <c r="L8" s="265">
        <v>0</v>
      </c>
      <c r="M8" s="266">
        <v>0</v>
      </c>
      <c r="N8" s="284"/>
      <c r="O8" s="285"/>
      <c r="P8" s="267">
        <v>0</v>
      </c>
      <c r="Q8" s="494">
        <f>VLOOKUP($B8,'АПП Баз'!$B$8:$X$73,10,FALSE)+VLOOKUP($B8,'АПП Баз'!$B$8:$X$73,22,FALSE)</f>
        <v>1223</v>
      </c>
      <c r="R8" s="495">
        <f>(VLOOKUP($B8,'АПП Баз'!$B$8:$X$73,11,FALSE)+VLOOKUP($B8,'АПП Баз'!$B$8:$X$73,23,FALSE))*1000</f>
        <v>1536039.08</v>
      </c>
      <c r="S8" s="264">
        <v>1144</v>
      </c>
      <c r="T8" s="262">
        <v>24926126.699999999</v>
      </c>
      <c r="U8" s="268">
        <v>0</v>
      </c>
      <c r="V8" s="269">
        <v>0</v>
      </c>
      <c r="W8" s="268">
        <v>0</v>
      </c>
      <c r="X8" s="269">
        <v>0</v>
      </c>
      <c r="Y8" s="268">
        <v>0</v>
      </c>
      <c r="Z8" s="269">
        <v>0</v>
      </c>
      <c r="AA8" s="268">
        <v>0</v>
      </c>
      <c r="AB8" s="269">
        <v>0</v>
      </c>
      <c r="AC8" s="270">
        <v>0</v>
      </c>
      <c r="AD8" s="271">
        <v>0</v>
      </c>
      <c r="AE8" s="270">
        <v>0</v>
      </c>
      <c r="AF8" s="271">
        <v>0</v>
      </c>
      <c r="AG8" s="270">
        <v>0</v>
      </c>
      <c r="AH8" s="271">
        <v>0</v>
      </c>
      <c r="AI8" s="272">
        <f t="shared" si="4"/>
        <v>0</v>
      </c>
      <c r="AJ8" s="272">
        <f>Q8+S8+U8+W8+Y8+AA8+AE8+AG8</f>
        <v>2367</v>
      </c>
      <c r="AK8" s="273">
        <f t="shared" si="5"/>
        <v>0</v>
      </c>
      <c r="AL8" s="274">
        <f t="shared" si="5"/>
        <v>0</v>
      </c>
      <c r="AM8" s="275">
        <f t="shared" si="1"/>
        <v>26462165.780000001</v>
      </c>
      <c r="AN8" s="276">
        <f t="shared" si="6"/>
        <v>26462165.780000001</v>
      </c>
      <c r="AO8" s="277">
        <f t="shared" si="2"/>
        <v>26462165.780000001</v>
      </c>
      <c r="AP8" s="331"/>
      <c r="AQ8" s="278">
        <f t="shared" si="7"/>
        <v>26462165.780000001</v>
      </c>
      <c r="AR8" s="331">
        <f>IFERROR((VLOOKUP(B8,'АПП Баз'!$B$8:$Y$72,24,FALSE)*1000),0)</f>
        <v>16658715.879999999</v>
      </c>
      <c r="AS8" s="334">
        <f t="shared" si="3"/>
        <v>9803449.9000000022</v>
      </c>
    </row>
    <row r="9" spans="1:47" ht="18" customHeight="1" x14ac:dyDescent="0.25">
      <c r="A9" s="261">
        <v>6</v>
      </c>
      <c r="B9" s="5">
        <v>390050</v>
      </c>
      <c r="C9" s="6" t="s">
        <v>98</v>
      </c>
      <c r="D9" s="262"/>
      <c r="E9" s="263"/>
      <c r="F9" s="264"/>
      <c r="G9" s="262"/>
      <c r="H9" s="264"/>
      <c r="I9" s="262"/>
      <c r="J9" s="264"/>
      <c r="K9" s="262"/>
      <c r="L9" s="265">
        <v>25500</v>
      </c>
      <c r="M9" s="266">
        <v>33769395.000000007</v>
      </c>
      <c r="N9" s="264"/>
      <c r="O9" s="262"/>
      <c r="P9" s="267">
        <v>6510000</v>
      </c>
      <c r="Q9" s="494">
        <f>VLOOKUP($B9,'АПП Баз'!$B$8:$X$73,10,FALSE)+VLOOKUP($B9,'АПП Баз'!$B$8:$X$73,22,FALSE)</f>
        <v>53975</v>
      </c>
      <c r="R9" s="495">
        <f>(VLOOKUP($B9,'АПП Баз'!$B$8:$X$73,11,FALSE)+VLOOKUP($B9,'АПП Баз'!$B$8:$X$73,23,FALSE))*1000</f>
        <v>20070683.77</v>
      </c>
      <c r="S9" s="264"/>
      <c r="T9" s="262"/>
      <c r="U9" s="268">
        <v>0</v>
      </c>
      <c r="V9" s="269">
        <v>0</v>
      </c>
      <c r="W9" s="268">
        <v>0</v>
      </c>
      <c r="X9" s="269">
        <v>0</v>
      </c>
      <c r="Y9" s="268">
        <v>0</v>
      </c>
      <c r="Z9" s="269">
        <v>0</v>
      </c>
      <c r="AA9" s="268">
        <v>0</v>
      </c>
      <c r="AB9" s="269">
        <v>0</v>
      </c>
      <c r="AC9" s="270">
        <v>0</v>
      </c>
      <c r="AD9" s="271">
        <v>0</v>
      </c>
      <c r="AE9" s="270">
        <v>0</v>
      </c>
      <c r="AF9" s="271">
        <v>0</v>
      </c>
      <c r="AG9" s="270">
        <v>0</v>
      </c>
      <c r="AH9" s="271">
        <v>0</v>
      </c>
      <c r="AI9" s="272">
        <f t="shared" si="4"/>
        <v>25500</v>
      </c>
      <c r="AJ9" s="272">
        <f t="shared" si="0"/>
        <v>53975</v>
      </c>
      <c r="AK9" s="273">
        <f t="shared" si="5"/>
        <v>0</v>
      </c>
      <c r="AL9" s="274">
        <f t="shared" si="5"/>
        <v>0</v>
      </c>
      <c r="AM9" s="275">
        <f t="shared" si="1"/>
        <v>60350078.770000011</v>
      </c>
      <c r="AN9" s="276">
        <f t="shared" si="6"/>
        <v>60350078.770000011</v>
      </c>
      <c r="AO9" s="277">
        <f t="shared" si="2"/>
        <v>53840078.770000011</v>
      </c>
      <c r="AP9" s="331"/>
      <c r="AQ9" s="278">
        <f t="shared" si="7"/>
        <v>60350078.770000011</v>
      </c>
      <c r="AR9" s="331">
        <f>IFERROR((VLOOKUP(B9,'АПП Баз'!$B$8:$Y$72,24,FALSE)*1000),0)</f>
        <v>64280515.739998914</v>
      </c>
      <c r="AS9" s="334">
        <f t="shared" si="3"/>
        <v>-3930436.9699989036</v>
      </c>
    </row>
    <row r="10" spans="1:47" ht="18" customHeight="1" x14ac:dyDescent="0.25">
      <c r="A10" s="261">
        <v>7</v>
      </c>
      <c r="B10" s="5">
        <v>390070</v>
      </c>
      <c r="C10" s="6" t="s">
        <v>87</v>
      </c>
      <c r="D10" s="262"/>
      <c r="E10" s="263"/>
      <c r="F10" s="264"/>
      <c r="G10" s="262"/>
      <c r="H10" s="264"/>
      <c r="I10" s="262"/>
      <c r="J10" s="264"/>
      <c r="K10" s="262"/>
      <c r="L10" s="265">
        <v>0</v>
      </c>
      <c r="M10" s="266">
        <v>0</v>
      </c>
      <c r="N10" s="264"/>
      <c r="O10" s="262"/>
      <c r="P10" s="267">
        <v>0</v>
      </c>
      <c r="Q10" s="494">
        <f>VLOOKUP($B10,'АПП Баз'!$B$8:$X$73,10,FALSE)+VLOOKUP($B10,'АПП Баз'!$B$8:$X$73,22,FALSE)</f>
        <v>53502</v>
      </c>
      <c r="R10" s="495">
        <f>(VLOOKUP($B10,'АПП Баз'!$B$8:$X$73,11,FALSE)+VLOOKUP($B10,'АПП Баз'!$B$8:$X$73,23,FALSE))*1000</f>
        <v>121085976.95999999</v>
      </c>
      <c r="S10" s="264"/>
      <c r="T10" s="262"/>
      <c r="U10" s="268">
        <v>0</v>
      </c>
      <c r="V10" s="269">
        <v>0</v>
      </c>
      <c r="W10" s="268">
        <v>0</v>
      </c>
      <c r="X10" s="269">
        <v>0</v>
      </c>
      <c r="Y10" s="268">
        <v>0</v>
      </c>
      <c r="Z10" s="269">
        <v>0</v>
      </c>
      <c r="AA10" s="268">
        <v>0</v>
      </c>
      <c r="AB10" s="269">
        <v>0</v>
      </c>
      <c r="AC10" s="270">
        <v>0</v>
      </c>
      <c r="AD10" s="271">
        <v>0</v>
      </c>
      <c r="AE10" s="270">
        <v>0</v>
      </c>
      <c r="AF10" s="271">
        <v>0</v>
      </c>
      <c r="AG10" s="270">
        <v>0</v>
      </c>
      <c r="AH10" s="271">
        <v>0</v>
      </c>
      <c r="AI10" s="272">
        <f t="shared" si="4"/>
        <v>0</v>
      </c>
      <c r="AJ10" s="272">
        <f t="shared" si="0"/>
        <v>53502</v>
      </c>
      <c r="AK10" s="273">
        <f t="shared" si="5"/>
        <v>0</v>
      </c>
      <c r="AL10" s="274">
        <f t="shared" si="5"/>
        <v>0</v>
      </c>
      <c r="AM10" s="275">
        <f t="shared" si="1"/>
        <v>121085976.95999999</v>
      </c>
      <c r="AN10" s="276">
        <f t="shared" si="6"/>
        <v>121085976.95999999</v>
      </c>
      <c r="AO10" s="277">
        <f t="shared" si="2"/>
        <v>121085976.95999999</v>
      </c>
      <c r="AP10" s="331"/>
      <c r="AQ10" s="278">
        <f t="shared" si="7"/>
        <v>121085976.95999999</v>
      </c>
      <c r="AR10" s="331">
        <f>IFERROR((VLOOKUP(B10,'АПП Баз'!$B$8:$Y$72,24,FALSE)*1000),0)</f>
        <v>158047764.64000002</v>
      </c>
      <c r="AS10" s="334">
        <f t="shared" si="3"/>
        <v>-36961787.680000022</v>
      </c>
    </row>
    <row r="11" spans="1:47" ht="18" customHeight="1" x14ac:dyDescent="0.25">
      <c r="A11" s="261">
        <v>8</v>
      </c>
      <c r="B11" s="5">
        <v>390520</v>
      </c>
      <c r="C11" s="6" t="s">
        <v>112</v>
      </c>
      <c r="D11" s="262"/>
      <c r="E11" s="263"/>
      <c r="F11" s="264"/>
      <c r="G11" s="262"/>
      <c r="H11" s="264"/>
      <c r="I11" s="262"/>
      <c r="J11" s="264"/>
      <c r="K11" s="262"/>
      <c r="L11" s="265">
        <v>0</v>
      </c>
      <c r="M11" s="266">
        <v>0</v>
      </c>
      <c r="N11" s="264"/>
      <c r="O11" s="262"/>
      <c r="P11" s="267">
        <v>0</v>
      </c>
      <c r="Q11" s="494">
        <f>VLOOKUP($B11,'АПП Баз'!$B$8:$X$73,10,FALSE)+VLOOKUP($B11,'АПП Баз'!$B$8:$X$73,22,FALSE)</f>
        <v>50494</v>
      </c>
      <c r="R11" s="495">
        <f>(VLOOKUP($B11,'АПП Баз'!$B$8:$X$73,11,FALSE)+VLOOKUP($B11,'АПП Баз'!$B$8:$X$73,23,FALSE))*1000</f>
        <v>67742750.400000006</v>
      </c>
      <c r="S11" s="264"/>
      <c r="T11" s="262"/>
      <c r="U11" s="268">
        <v>0</v>
      </c>
      <c r="V11" s="269">
        <v>0</v>
      </c>
      <c r="W11" s="268">
        <v>0</v>
      </c>
      <c r="X11" s="269">
        <v>0</v>
      </c>
      <c r="Y11" s="268">
        <v>0</v>
      </c>
      <c r="Z11" s="269">
        <v>0</v>
      </c>
      <c r="AA11" s="268">
        <v>0</v>
      </c>
      <c r="AB11" s="269">
        <v>0</v>
      </c>
      <c r="AC11" s="270">
        <v>0</v>
      </c>
      <c r="AD11" s="271">
        <v>0</v>
      </c>
      <c r="AE11" s="270">
        <v>0</v>
      </c>
      <c r="AF11" s="271">
        <v>0</v>
      </c>
      <c r="AG11" s="270">
        <v>0</v>
      </c>
      <c r="AH11" s="271">
        <v>0</v>
      </c>
      <c r="AI11" s="272">
        <f t="shared" si="4"/>
        <v>0</v>
      </c>
      <c r="AJ11" s="272">
        <f t="shared" si="0"/>
        <v>50494</v>
      </c>
      <c r="AK11" s="273">
        <f t="shared" si="5"/>
        <v>0</v>
      </c>
      <c r="AL11" s="274">
        <f t="shared" si="5"/>
        <v>0</v>
      </c>
      <c r="AM11" s="275">
        <f t="shared" si="1"/>
        <v>67742750.400000006</v>
      </c>
      <c r="AN11" s="276">
        <f t="shared" si="6"/>
        <v>67742750.400000006</v>
      </c>
      <c r="AO11" s="277">
        <f t="shared" si="2"/>
        <v>67742750.400000006</v>
      </c>
      <c r="AP11" s="331"/>
      <c r="AQ11" s="278">
        <f t="shared" si="7"/>
        <v>67742750.400000006</v>
      </c>
      <c r="AR11" s="331">
        <f>IFERROR((VLOOKUP(B11,'АПП Баз'!$B$8:$Y$72,24,FALSE)*1000),0)</f>
        <v>67742750.400000006</v>
      </c>
      <c r="AS11" s="334">
        <f t="shared" si="3"/>
        <v>0</v>
      </c>
    </row>
    <row r="12" spans="1:47" ht="18" customHeight="1" x14ac:dyDescent="0.25">
      <c r="A12" s="261">
        <v>9</v>
      </c>
      <c r="B12" s="5">
        <v>390130</v>
      </c>
      <c r="C12" s="6" t="s">
        <v>113</v>
      </c>
      <c r="D12" s="262"/>
      <c r="E12" s="263"/>
      <c r="F12" s="264"/>
      <c r="G12" s="262"/>
      <c r="H12" s="264"/>
      <c r="I12" s="262"/>
      <c r="J12" s="264"/>
      <c r="K12" s="262"/>
      <c r="L12" s="265">
        <v>5017</v>
      </c>
      <c r="M12" s="266">
        <v>6643962.9299999997</v>
      </c>
      <c r="N12" s="264"/>
      <c r="O12" s="262"/>
      <c r="P12" s="267">
        <v>0</v>
      </c>
      <c r="Q12" s="494">
        <f>VLOOKUP($B12,'АПП Баз'!$B$8:$X$73,10,FALSE)+VLOOKUP($B12,'АПП Баз'!$B$8:$X$73,22,FALSE)</f>
        <v>63494</v>
      </c>
      <c r="R12" s="495">
        <f>(VLOOKUP($B12,'АПП Баз'!$B$8:$X$73,11,FALSE)+VLOOKUP($B12,'АПП Баз'!$B$8:$X$73,23,FALSE))*1000</f>
        <v>29650122.119999997</v>
      </c>
      <c r="S12" s="264"/>
      <c r="T12" s="262"/>
      <c r="U12" s="268">
        <v>0</v>
      </c>
      <c r="V12" s="269">
        <v>0</v>
      </c>
      <c r="W12" s="268">
        <v>0</v>
      </c>
      <c r="X12" s="269">
        <v>0</v>
      </c>
      <c r="Y12" s="268">
        <v>0</v>
      </c>
      <c r="Z12" s="269">
        <v>0</v>
      </c>
      <c r="AA12" s="268">
        <v>0</v>
      </c>
      <c r="AB12" s="269">
        <v>0</v>
      </c>
      <c r="AC12" s="270">
        <v>0</v>
      </c>
      <c r="AD12" s="271">
        <v>0</v>
      </c>
      <c r="AE12" s="270">
        <v>0</v>
      </c>
      <c r="AF12" s="271">
        <v>0</v>
      </c>
      <c r="AG12" s="270">
        <v>0</v>
      </c>
      <c r="AH12" s="271">
        <v>0</v>
      </c>
      <c r="AI12" s="272">
        <f t="shared" si="4"/>
        <v>5017</v>
      </c>
      <c r="AJ12" s="272">
        <f t="shared" si="0"/>
        <v>63494</v>
      </c>
      <c r="AK12" s="273">
        <f t="shared" si="5"/>
        <v>0</v>
      </c>
      <c r="AL12" s="274">
        <f t="shared" si="5"/>
        <v>0</v>
      </c>
      <c r="AM12" s="275">
        <f t="shared" si="1"/>
        <v>36294085.049999997</v>
      </c>
      <c r="AN12" s="276">
        <f t="shared" si="6"/>
        <v>36294085.049999997</v>
      </c>
      <c r="AO12" s="277">
        <f t="shared" si="2"/>
        <v>36294085.049999997</v>
      </c>
      <c r="AP12" s="331"/>
      <c r="AQ12" s="278">
        <f t="shared" si="7"/>
        <v>36294085.049999997</v>
      </c>
      <c r="AR12" s="331">
        <f>IFERROR((VLOOKUP(B12,'АПП Баз'!$B$8:$Y$72,24,FALSE)*1000),0)</f>
        <v>32163041.099999994</v>
      </c>
      <c r="AS12" s="334">
        <f t="shared" si="3"/>
        <v>4131043.950000003</v>
      </c>
    </row>
    <row r="13" spans="1:47" ht="18" customHeight="1" x14ac:dyDescent="0.25">
      <c r="A13" s="261">
        <v>10</v>
      </c>
      <c r="B13" s="5">
        <v>390680</v>
      </c>
      <c r="C13" s="6" t="s">
        <v>114</v>
      </c>
      <c r="D13" s="262"/>
      <c r="E13" s="263"/>
      <c r="F13" s="264"/>
      <c r="G13" s="262"/>
      <c r="H13" s="264"/>
      <c r="I13" s="262"/>
      <c r="J13" s="264"/>
      <c r="K13" s="262"/>
      <c r="L13" s="265">
        <v>12356</v>
      </c>
      <c r="M13" s="266">
        <v>16362927.24</v>
      </c>
      <c r="N13" s="264"/>
      <c r="O13" s="262"/>
      <c r="P13" s="267">
        <v>0</v>
      </c>
      <c r="Q13" s="494">
        <f>VLOOKUP($B13,'АПП Баз'!$B$8:$X$73,10,FALSE)+VLOOKUP($B13,'АПП Баз'!$B$8:$X$73,22,FALSE)</f>
        <v>67176</v>
      </c>
      <c r="R13" s="495">
        <f>(VLOOKUP($B13,'АПП Баз'!$B$8:$X$73,11,FALSE)+VLOOKUP($B13,'АПП Баз'!$B$8:$X$73,23,FALSE))*1000</f>
        <v>32803949.079999998</v>
      </c>
      <c r="S13" s="264"/>
      <c r="T13" s="262"/>
      <c r="U13" s="268">
        <v>0</v>
      </c>
      <c r="V13" s="269">
        <v>0</v>
      </c>
      <c r="W13" s="268">
        <v>0</v>
      </c>
      <c r="X13" s="269">
        <v>0</v>
      </c>
      <c r="Y13" s="268">
        <v>0</v>
      </c>
      <c r="Z13" s="269">
        <v>0</v>
      </c>
      <c r="AA13" s="268">
        <v>0</v>
      </c>
      <c r="AB13" s="269">
        <v>0</v>
      </c>
      <c r="AC13" s="270">
        <v>1092.2179999999998</v>
      </c>
      <c r="AD13" s="271">
        <v>413000</v>
      </c>
      <c r="AE13" s="270">
        <v>788.26</v>
      </c>
      <c r="AF13" s="271">
        <v>333000</v>
      </c>
      <c r="AG13" s="270">
        <v>270.45600000000002</v>
      </c>
      <c r="AH13" s="271">
        <v>33000</v>
      </c>
      <c r="AI13" s="272">
        <f t="shared" si="4"/>
        <v>12356</v>
      </c>
      <c r="AJ13" s="272">
        <f t="shared" si="0"/>
        <v>68234.716</v>
      </c>
      <c r="AK13" s="273">
        <f t="shared" si="5"/>
        <v>0</v>
      </c>
      <c r="AL13" s="274">
        <f t="shared" si="5"/>
        <v>0</v>
      </c>
      <c r="AM13" s="275">
        <f t="shared" si="1"/>
        <v>49945876.32</v>
      </c>
      <c r="AN13" s="276">
        <f t="shared" si="6"/>
        <v>49945876.32</v>
      </c>
      <c r="AO13" s="277">
        <f t="shared" si="2"/>
        <v>49945876.32</v>
      </c>
      <c r="AP13" s="331"/>
      <c r="AQ13" s="278">
        <f t="shared" si="7"/>
        <v>49166876.32</v>
      </c>
      <c r="AR13" s="331">
        <f>IFERROR((VLOOKUP(B13,'АПП Баз'!$B$8:$Y$72,24,FALSE)*1000),0)</f>
        <v>46158204.280000001</v>
      </c>
      <c r="AS13" s="334">
        <f t="shared" si="3"/>
        <v>3008672.0399999991</v>
      </c>
    </row>
    <row r="14" spans="1:47" ht="18" customHeight="1" x14ac:dyDescent="0.25">
      <c r="A14" s="261">
        <v>11</v>
      </c>
      <c r="B14" s="5">
        <v>390700</v>
      </c>
      <c r="C14" s="6" t="s">
        <v>115</v>
      </c>
      <c r="D14" s="262"/>
      <c r="E14" s="263"/>
      <c r="F14" s="264"/>
      <c r="G14" s="262"/>
      <c r="H14" s="264"/>
      <c r="I14" s="262"/>
      <c r="J14" s="264"/>
      <c r="K14" s="262"/>
      <c r="L14" s="265">
        <v>590</v>
      </c>
      <c r="M14" s="266">
        <v>781331.1</v>
      </c>
      <c r="N14" s="264"/>
      <c r="O14" s="262"/>
      <c r="P14" s="267">
        <v>0</v>
      </c>
      <c r="Q14" s="494">
        <f>VLOOKUP($B14,'АПП Баз'!$B$8:$X$73,10,FALSE)+VLOOKUP($B14,'АПП Баз'!$B$8:$X$73,22,FALSE)</f>
        <v>1678</v>
      </c>
      <c r="R14" s="495">
        <f>(VLOOKUP($B14,'АПП Баз'!$B$8:$X$73,11,FALSE)+VLOOKUP($B14,'АПП Баз'!$B$8:$X$73,23,FALSE))*1000</f>
        <v>783831.26</v>
      </c>
      <c r="S14" s="264"/>
      <c r="T14" s="262"/>
      <c r="U14" s="268">
        <v>0</v>
      </c>
      <c r="V14" s="269">
        <v>0</v>
      </c>
      <c r="W14" s="268">
        <v>0</v>
      </c>
      <c r="X14" s="269">
        <v>0</v>
      </c>
      <c r="Y14" s="268">
        <v>0</v>
      </c>
      <c r="Z14" s="269">
        <v>0</v>
      </c>
      <c r="AA14" s="268">
        <v>0</v>
      </c>
      <c r="AB14" s="269">
        <v>0</v>
      </c>
      <c r="AC14" s="270">
        <v>187.614</v>
      </c>
      <c r="AD14" s="271">
        <v>0</v>
      </c>
      <c r="AE14" s="270">
        <v>0</v>
      </c>
      <c r="AF14" s="271">
        <v>231000</v>
      </c>
      <c r="AG14" s="270">
        <v>187.614</v>
      </c>
      <c r="AH14" s="271">
        <v>0</v>
      </c>
      <c r="AI14" s="272">
        <f t="shared" si="4"/>
        <v>590</v>
      </c>
      <c r="AJ14" s="272">
        <f t="shared" si="0"/>
        <v>1865.614</v>
      </c>
      <c r="AK14" s="273">
        <f t="shared" si="5"/>
        <v>0</v>
      </c>
      <c r="AL14" s="274">
        <f t="shared" si="5"/>
        <v>0</v>
      </c>
      <c r="AM14" s="275">
        <f t="shared" si="1"/>
        <v>1796162.3599999999</v>
      </c>
      <c r="AN14" s="276">
        <f t="shared" si="6"/>
        <v>1796162.3599999999</v>
      </c>
      <c r="AO14" s="277">
        <f t="shared" si="2"/>
        <v>1796162.3599999999</v>
      </c>
      <c r="AP14" s="331"/>
      <c r="AQ14" s="278">
        <f t="shared" si="7"/>
        <v>1565162.3599999999</v>
      </c>
      <c r="AR14" s="331">
        <f>IFERROR((VLOOKUP(B14,'АПП Баз'!$B$8:$Y$72,24,FALSE)*1000),0)</f>
        <v>1157812.75</v>
      </c>
      <c r="AS14" s="334">
        <f t="shared" si="3"/>
        <v>407349.60999999987</v>
      </c>
    </row>
    <row r="15" spans="1:47" ht="18" customHeight="1" x14ac:dyDescent="0.25">
      <c r="A15" s="261">
        <v>12</v>
      </c>
      <c r="B15" s="5">
        <v>391610</v>
      </c>
      <c r="C15" s="6" t="s">
        <v>104</v>
      </c>
      <c r="D15" s="262"/>
      <c r="E15" s="263"/>
      <c r="F15" s="264"/>
      <c r="G15" s="262"/>
      <c r="H15" s="264"/>
      <c r="I15" s="262"/>
      <c r="J15" s="264"/>
      <c r="K15" s="262"/>
      <c r="L15" s="265">
        <v>0</v>
      </c>
      <c r="M15" s="266">
        <v>0</v>
      </c>
      <c r="N15" s="264"/>
      <c r="O15" s="262"/>
      <c r="P15" s="267">
        <v>0</v>
      </c>
      <c r="Q15" s="494">
        <f>VLOOKUP($B15,'АПП Баз'!$B$8:$X$73,10,FALSE)+VLOOKUP($B15,'АПП Баз'!$B$8:$X$73,22,FALSE)</f>
        <v>20763</v>
      </c>
      <c r="R15" s="495">
        <f>(VLOOKUP($B15,'АПП Баз'!$B$8:$X$73,11,FALSE)+VLOOKUP($B15,'АПП Баз'!$B$8:$X$73,23,FALSE))*1000</f>
        <v>13658147.939999999</v>
      </c>
      <c r="S15" s="264"/>
      <c r="T15" s="262"/>
      <c r="U15" s="268">
        <v>0</v>
      </c>
      <c r="V15" s="269">
        <v>0</v>
      </c>
      <c r="W15" s="268">
        <v>0</v>
      </c>
      <c r="X15" s="269">
        <v>0</v>
      </c>
      <c r="Y15" s="268">
        <v>0</v>
      </c>
      <c r="Z15" s="269">
        <v>0</v>
      </c>
      <c r="AA15" s="268">
        <v>0</v>
      </c>
      <c r="AB15" s="269">
        <v>0</v>
      </c>
      <c r="AC15" s="270">
        <v>0</v>
      </c>
      <c r="AD15" s="271">
        <v>0</v>
      </c>
      <c r="AE15" s="270">
        <v>0</v>
      </c>
      <c r="AF15" s="271">
        <v>0</v>
      </c>
      <c r="AG15" s="270">
        <v>0</v>
      </c>
      <c r="AH15" s="271">
        <v>0</v>
      </c>
      <c r="AI15" s="272">
        <f t="shared" si="4"/>
        <v>0</v>
      </c>
      <c r="AJ15" s="272">
        <f t="shared" si="0"/>
        <v>20763</v>
      </c>
      <c r="AK15" s="273">
        <f t="shared" si="5"/>
        <v>0</v>
      </c>
      <c r="AL15" s="274">
        <f t="shared" si="5"/>
        <v>0</v>
      </c>
      <c r="AM15" s="275">
        <f t="shared" si="1"/>
        <v>13658147.939999999</v>
      </c>
      <c r="AN15" s="276">
        <f t="shared" si="6"/>
        <v>13658147.939999999</v>
      </c>
      <c r="AO15" s="277">
        <f t="shared" si="2"/>
        <v>13658147.939999999</v>
      </c>
      <c r="AP15" s="331"/>
      <c r="AQ15" s="278">
        <f t="shared" si="7"/>
        <v>13658147.939999999</v>
      </c>
      <c r="AR15" s="331">
        <f>IFERROR((VLOOKUP(B15,'АПП Баз'!$B$8:$Y$72,24,FALSE)*1000),0)</f>
        <v>46545994.8400001</v>
      </c>
      <c r="AS15" s="334">
        <f t="shared" si="3"/>
        <v>-32887846.900000103</v>
      </c>
    </row>
    <row r="16" spans="1:47" ht="16.5" customHeight="1" x14ac:dyDescent="0.25">
      <c r="A16" s="261">
        <v>13</v>
      </c>
      <c r="B16" s="5">
        <v>390440</v>
      </c>
      <c r="C16" s="238" t="s">
        <v>95</v>
      </c>
      <c r="D16" s="507">
        <v>159946257.23520046</v>
      </c>
      <c r="E16" s="263">
        <v>0</v>
      </c>
      <c r="F16" s="264">
        <v>133043</v>
      </c>
      <c r="G16" s="267">
        <f>D16+E16-I16-K16</f>
        <v>107674667.96654367</v>
      </c>
      <c r="H16" s="264">
        <v>139948</v>
      </c>
      <c r="I16" s="267">
        <v>26241878.754859671</v>
      </c>
      <c r="J16" s="264">
        <v>37710</v>
      </c>
      <c r="K16" s="262">
        <v>26029710.513797119</v>
      </c>
      <c r="L16" s="265"/>
      <c r="M16" s="266"/>
      <c r="N16" s="264"/>
      <c r="O16" s="262"/>
      <c r="P16" s="267">
        <v>11284000</v>
      </c>
      <c r="Q16" s="265"/>
      <c r="R16" s="266"/>
      <c r="S16" s="264">
        <v>300</v>
      </c>
      <c r="T16" s="262">
        <v>3809000</v>
      </c>
      <c r="U16" s="508">
        <v>30640</v>
      </c>
      <c r="V16" s="509">
        <v>89471906.458973214</v>
      </c>
      <c r="W16" s="508">
        <v>31603</v>
      </c>
      <c r="X16" s="509">
        <v>40092107.810000002</v>
      </c>
      <c r="Y16" s="508">
        <v>9086</v>
      </c>
      <c r="Z16" s="509">
        <v>9850132.5999999996</v>
      </c>
      <c r="AA16" s="508">
        <v>8264</v>
      </c>
      <c r="AB16" s="509">
        <v>12308796.442168875</v>
      </c>
      <c r="AC16" s="270">
        <v>0</v>
      </c>
      <c r="AD16" s="271">
        <v>0</v>
      </c>
      <c r="AE16" s="270">
        <v>0</v>
      </c>
      <c r="AF16" s="271">
        <v>0</v>
      </c>
      <c r="AG16" s="270">
        <v>0</v>
      </c>
      <c r="AH16" s="271">
        <v>0</v>
      </c>
      <c r="AI16" s="272">
        <f>L16+N16</f>
        <v>0</v>
      </c>
      <c r="AJ16" s="272">
        <f t="shared" si="0"/>
        <v>79893</v>
      </c>
      <c r="AK16" s="273">
        <f t="shared" si="5"/>
        <v>47990</v>
      </c>
      <c r="AL16" s="274">
        <f>V16+Z16+AB16</f>
        <v>111630835.50114208</v>
      </c>
      <c r="AM16" s="275">
        <f>R16+M16+O16+P16+T16+V16+X16+Z16+AB16+AD16+AF16+AH16</f>
        <v>166815943.31114209</v>
      </c>
      <c r="AN16" s="276">
        <f>D16+E16+AM16</f>
        <v>326762200.54634255</v>
      </c>
      <c r="AO16" s="277">
        <f>AM16-P16</f>
        <v>155531943.31114209</v>
      </c>
      <c r="AP16" s="331"/>
      <c r="AQ16" s="278">
        <f>AN16-AH16-AF16-AD16</f>
        <v>326762200.54634255</v>
      </c>
      <c r="AR16" s="331">
        <f>IFERROR((VLOOKUP(B16,'АПП Баз'!$B$8:$Y$72,24,FALSE)*1000),0)</f>
        <v>373151424.03000003</v>
      </c>
      <c r="AS16" s="334">
        <f t="shared" si="3"/>
        <v>-46389223.483657479</v>
      </c>
      <c r="AU16" s="444">
        <v>0</v>
      </c>
    </row>
    <row r="17" spans="1:47" x14ac:dyDescent="0.25">
      <c r="A17" s="261">
        <v>14</v>
      </c>
      <c r="B17" s="5">
        <v>390100</v>
      </c>
      <c r="C17" s="238" t="s">
        <v>93</v>
      </c>
      <c r="D17" s="507">
        <v>128060228.72138833</v>
      </c>
      <c r="E17" s="263">
        <v>0</v>
      </c>
      <c r="F17" s="264">
        <v>107695</v>
      </c>
      <c r="G17" s="267">
        <f t="shared" ref="G17:G42" si="8">D17+E17-I17-K17</f>
        <v>100432114.58800577</v>
      </c>
      <c r="H17" s="264">
        <v>116361</v>
      </c>
      <c r="I17" s="267">
        <v>6429485.1333825588</v>
      </c>
      <c r="J17" s="264">
        <v>30474</v>
      </c>
      <c r="K17" s="262">
        <v>21198629</v>
      </c>
      <c r="L17" s="265"/>
      <c r="M17" s="266"/>
      <c r="N17" s="264"/>
      <c r="O17" s="262"/>
      <c r="P17" s="267">
        <v>0</v>
      </c>
      <c r="Q17" s="265"/>
      <c r="R17" s="266"/>
      <c r="S17" s="264"/>
      <c r="T17" s="262"/>
      <c r="U17" s="508">
        <v>23544</v>
      </c>
      <c r="V17" s="509">
        <v>68281105.099999994</v>
      </c>
      <c r="W17" s="508">
        <v>24332</v>
      </c>
      <c r="X17" s="509">
        <v>30868034.57</v>
      </c>
      <c r="Y17" s="508">
        <v>6650</v>
      </c>
      <c r="Z17" s="509">
        <v>7209265</v>
      </c>
      <c r="AA17" s="508">
        <v>5642</v>
      </c>
      <c r="AB17" s="509">
        <v>7803584.9500000002</v>
      </c>
      <c r="AC17" s="270">
        <v>10350.237999999999</v>
      </c>
      <c r="AD17" s="271">
        <v>4007000</v>
      </c>
      <c r="AE17" s="270">
        <v>7648.28</v>
      </c>
      <c r="AF17" s="271">
        <v>3020000</v>
      </c>
      <c r="AG17" s="270">
        <v>2452.194</v>
      </c>
      <c r="AH17" s="271">
        <v>246000</v>
      </c>
      <c r="AI17" s="272">
        <f>AC17</f>
        <v>10350.237999999999</v>
      </c>
      <c r="AJ17" s="272">
        <f>Q17+S17+U17+W17+Y17+AA17+AE17+AG17</f>
        <v>70268.474000000002</v>
      </c>
      <c r="AK17" s="273">
        <f t="shared" si="5"/>
        <v>35836</v>
      </c>
      <c r="AL17" s="274">
        <f t="shared" si="5"/>
        <v>83293955.049999997</v>
      </c>
      <c r="AM17" s="275">
        <f t="shared" si="1"/>
        <v>121434989.61999999</v>
      </c>
      <c r="AN17" s="276">
        <f t="shared" si="6"/>
        <v>249495218.34138831</v>
      </c>
      <c r="AO17" s="277">
        <f t="shared" si="2"/>
        <v>121434989.61999999</v>
      </c>
      <c r="AP17" s="331"/>
      <c r="AQ17" s="278">
        <f t="shared" ref="AQ17:AQ42" si="9">AN17-AH17-AF17-AD17</f>
        <v>242222218.34138831</v>
      </c>
      <c r="AR17" s="331">
        <f>IFERROR((VLOOKUP(B17,'АПП Баз'!$B$8:$Y$72,24,FALSE)*1000),0)</f>
        <v>240682042.36000001</v>
      </c>
      <c r="AS17" s="334">
        <f t="shared" si="3"/>
        <v>1540175.9813883007</v>
      </c>
      <c r="AU17" s="444">
        <v>5579109.46</v>
      </c>
    </row>
    <row r="18" spans="1:47" x14ac:dyDescent="0.25">
      <c r="A18" s="261">
        <v>15</v>
      </c>
      <c r="B18" s="5">
        <v>390090</v>
      </c>
      <c r="C18" s="238" t="s">
        <v>92</v>
      </c>
      <c r="D18" s="507">
        <v>140005404.67796317</v>
      </c>
      <c r="E18" s="263">
        <v>0</v>
      </c>
      <c r="F18" s="264">
        <v>106259</v>
      </c>
      <c r="G18" s="267">
        <f t="shared" si="8"/>
        <v>112327382.91106701</v>
      </c>
      <c r="H18" s="264">
        <v>90113</v>
      </c>
      <c r="I18" s="267">
        <v>7020726.3294352442</v>
      </c>
      <c r="J18" s="264">
        <v>29875</v>
      </c>
      <c r="K18" s="262">
        <v>20657295.437460914</v>
      </c>
      <c r="L18" s="265"/>
      <c r="M18" s="266"/>
      <c r="N18" s="264"/>
      <c r="O18" s="262"/>
      <c r="P18" s="267">
        <v>0</v>
      </c>
      <c r="Q18" s="265"/>
      <c r="R18" s="266"/>
      <c r="S18" s="264"/>
      <c r="T18" s="262"/>
      <c r="U18" s="508">
        <v>24489</v>
      </c>
      <c r="V18" s="509">
        <v>71539616.659999996</v>
      </c>
      <c r="W18" s="508">
        <v>25261</v>
      </c>
      <c r="X18" s="509">
        <v>32046570.239999998</v>
      </c>
      <c r="Y18" s="508">
        <v>7338</v>
      </c>
      <c r="Z18" s="509">
        <v>7955125.7999999998</v>
      </c>
      <c r="AA18" s="508">
        <v>5844</v>
      </c>
      <c r="AB18" s="509">
        <v>8133888.5599999996</v>
      </c>
      <c r="AC18" s="270">
        <v>5239.2449999999999</v>
      </c>
      <c r="AD18" s="271">
        <v>2051000</v>
      </c>
      <c r="AE18" s="270">
        <v>3914.58</v>
      </c>
      <c r="AF18" s="271">
        <v>1481000</v>
      </c>
      <c r="AG18" s="270">
        <v>1202.8389999999999</v>
      </c>
      <c r="AH18" s="271">
        <v>120000</v>
      </c>
      <c r="AI18" s="272">
        <f t="shared" ref="AI18:AI62" si="10">AC18</f>
        <v>5239.2449999999999</v>
      </c>
      <c r="AJ18" s="272">
        <f t="shared" si="0"/>
        <v>68049.418999999994</v>
      </c>
      <c r="AK18" s="273">
        <f t="shared" si="5"/>
        <v>37671</v>
      </c>
      <c r="AL18" s="274">
        <f t="shared" si="5"/>
        <v>87628631.019999996</v>
      </c>
      <c r="AM18" s="275">
        <f t="shared" si="1"/>
        <v>123327201.25999999</v>
      </c>
      <c r="AN18" s="276">
        <f t="shared" si="6"/>
        <v>263332605.93796316</v>
      </c>
      <c r="AO18" s="277">
        <f t="shared" si="2"/>
        <v>123327201.25999999</v>
      </c>
      <c r="AP18" s="331"/>
      <c r="AQ18" s="278">
        <f t="shared" si="9"/>
        <v>259680605.93796316</v>
      </c>
      <c r="AR18" s="331">
        <f>IFERROR((VLOOKUP(B18,'АПП Баз'!$B$8:$Y$72,24,FALSE)*1000),0)</f>
        <v>238160846.91000003</v>
      </c>
      <c r="AS18" s="334">
        <f t="shared" si="3"/>
        <v>21519759.027963132</v>
      </c>
      <c r="AU18" s="444">
        <v>17303034.600000001</v>
      </c>
    </row>
    <row r="19" spans="1:47" x14ac:dyDescent="0.25">
      <c r="A19" s="261">
        <v>16</v>
      </c>
      <c r="B19" s="5">
        <v>390400</v>
      </c>
      <c r="C19" s="238" t="s">
        <v>94</v>
      </c>
      <c r="D19" s="507">
        <v>307181037.33557034</v>
      </c>
      <c r="E19" s="263">
        <v>0</v>
      </c>
      <c r="F19" s="264">
        <v>227613</v>
      </c>
      <c r="G19" s="267">
        <f t="shared" si="8"/>
        <v>244509316.9797869</v>
      </c>
      <c r="H19" s="264">
        <v>239124</v>
      </c>
      <c r="I19" s="267">
        <v>18634888.634536482</v>
      </c>
      <c r="J19" s="264">
        <v>64046</v>
      </c>
      <c r="K19" s="262">
        <v>44036831.721246921</v>
      </c>
      <c r="L19" s="265"/>
      <c r="M19" s="266"/>
      <c r="N19" s="264"/>
      <c r="O19" s="262"/>
      <c r="P19" s="267">
        <v>0</v>
      </c>
      <c r="Q19" s="265"/>
      <c r="R19" s="266"/>
      <c r="S19" s="264"/>
      <c r="T19" s="262"/>
      <c r="U19" s="508">
        <v>52950</v>
      </c>
      <c r="V19" s="509">
        <v>154728076.38999999</v>
      </c>
      <c r="W19" s="508">
        <v>54619</v>
      </c>
      <c r="X19" s="509">
        <v>69286023.829999998</v>
      </c>
      <c r="Y19" s="508">
        <v>15298</v>
      </c>
      <c r="Z19" s="509">
        <v>16584599.699999999</v>
      </c>
      <c r="AA19" s="508">
        <v>12633</v>
      </c>
      <c r="AB19" s="509">
        <v>17589200.27</v>
      </c>
      <c r="AC19" s="270">
        <v>1693.6779999999999</v>
      </c>
      <c r="AD19" s="271">
        <v>531000</v>
      </c>
      <c r="AE19" s="270">
        <v>1013.477</v>
      </c>
      <c r="AF19" s="271">
        <v>760000</v>
      </c>
      <c r="AG19" s="270">
        <v>617.25699999999995</v>
      </c>
      <c r="AH19" s="271">
        <v>62000</v>
      </c>
      <c r="AI19" s="272">
        <f t="shared" si="10"/>
        <v>1693.6779999999999</v>
      </c>
      <c r="AJ19" s="272">
        <f t="shared" si="0"/>
        <v>137130.73400000003</v>
      </c>
      <c r="AK19" s="273">
        <f t="shared" si="5"/>
        <v>80881</v>
      </c>
      <c r="AL19" s="274">
        <f t="shared" si="5"/>
        <v>188901876.35999998</v>
      </c>
      <c r="AM19" s="275">
        <f>R19+M19+O19+P19+T19+V19+X19+Z19+AB19+AD19+AF19+AH19</f>
        <v>259540900.18999997</v>
      </c>
      <c r="AN19" s="276">
        <f>D19+E19+AM19</f>
        <v>566721937.52557027</v>
      </c>
      <c r="AO19" s="277">
        <f t="shared" si="2"/>
        <v>259540900.18999997</v>
      </c>
      <c r="AP19" s="331"/>
      <c r="AQ19" s="278">
        <f t="shared" si="9"/>
        <v>565368937.52557027</v>
      </c>
      <c r="AR19" s="331">
        <f>IFERROR((VLOOKUP(B19,'АПП Баз'!$B$8:$Y$72,24,FALSE)*1000),0)</f>
        <v>558094770.97000003</v>
      </c>
      <c r="AS19" s="334">
        <f t="shared" si="3"/>
        <v>7274166.5555702448</v>
      </c>
      <c r="AU19" s="444">
        <v>29344395.350000001</v>
      </c>
    </row>
    <row r="20" spans="1:47" x14ac:dyDescent="0.25">
      <c r="A20" s="261">
        <v>17</v>
      </c>
      <c r="B20" s="5">
        <v>390110</v>
      </c>
      <c r="C20" s="238" t="s">
        <v>99</v>
      </c>
      <c r="D20" s="507">
        <v>20808700.931688607</v>
      </c>
      <c r="E20" s="263">
        <v>0</v>
      </c>
      <c r="F20" s="264">
        <v>17231</v>
      </c>
      <c r="G20" s="267">
        <f t="shared" si="8"/>
        <v>17035340.745801948</v>
      </c>
      <c r="H20" s="264">
        <v>39209</v>
      </c>
      <c r="I20" s="267">
        <v>374512.18588666059</v>
      </c>
      <c r="J20" s="264">
        <v>4886</v>
      </c>
      <c r="K20" s="262">
        <v>3398848</v>
      </c>
      <c r="L20" s="265"/>
      <c r="M20" s="266"/>
      <c r="N20" s="264"/>
      <c r="O20" s="262"/>
      <c r="P20" s="267">
        <v>0</v>
      </c>
      <c r="Q20" s="265"/>
      <c r="R20" s="266"/>
      <c r="S20" s="264"/>
      <c r="T20" s="262"/>
      <c r="U20" s="508">
        <v>3938</v>
      </c>
      <c r="V20" s="509">
        <v>11119470.16</v>
      </c>
      <c r="W20" s="508">
        <v>4097</v>
      </c>
      <c r="X20" s="509">
        <v>5197093.9000000004</v>
      </c>
      <c r="Y20" s="508">
        <v>1197</v>
      </c>
      <c r="Z20" s="509">
        <v>1297667.7</v>
      </c>
      <c r="AA20" s="508">
        <v>958</v>
      </c>
      <c r="AB20" s="509">
        <v>1295139.6399999999</v>
      </c>
      <c r="AC20" s="270">
        <v>3925.2609999999995</v>
      </c>
      <c r="AD20" s="271">
        <v>1500000</v>
      </c>
      <c r="AE20" s="270">
        <v>2862.93</v>
      </c>
      <c r="AF20" s="271">
        <v>1188000</v>
      </c>
      <c r="AG20" s="270">
        <v>964.87</v>
      </c>
      <c r="AH20" s="271">
        <v>96000</v>
      </c>
      <c r="AI20" s="272">
        <f t="shared" si="10"/>
        <v>3925.2609999999995</v>
      </c>
      <c r="AJ20" s="272">
        <f t="shared" si="0"/>
        <v>14017.800000000001</v>
      </c>
      <c r="AK20" s="273">
        <f t="shared" si="5"/>
        <v>6093</v>
      </c>
      <c r="AL20" s="274">
        <f t="shared" si="5"/>
        <v>13712277.5</v>
      </c>
      <c r="AM20" s="275">
        <f t="shared" si="1"/>
        <v>21693371.400000002</v>
      </c>
      <c r="AN20" s="276">
        <f t="shared" si="6"/>
        <v>42502072.331688613</v>
      </c>
      <c r="AO20" s="277">
        <f t="shared" si="2"/>
        <v>21693371.400000002</v>
      </c>
      <c r="AP20" s="331"/>
      <c r="AQ20" s="278">
        <f t="shared" si="9"/>
        <v>39718072.331688613</v>
      </c>
      <c r="AR20" s="331">
        <f>IFERROR((VLOOKUP(B20,'АПП Баз'!$B$8:$Y$72,24,FALSE)*1000),0)</f>
        <v>38825869.959999993</v>
      </c>
      <c r="AS20" s="334">
        <f t="shared" si="3"/>
        <v>892202.37168861926</v>
      </c>
      <c r="AU20" s="444">
        <v>4080618.2</v>
      </c>
    </row>
    <row r="21" spans="1:47" x14ac:dyDescent="0.25">
      <c r="A21" s="261">
        <v>18</v>
      </c>
      <c r="B21" s="5">
        <v>390890</v>
      </c>
      <c r="C21" s="238" t="s">
        <v>116</v>
      </c>
      <c r="D21" s="507">
        <v>448949925.84023482</v>
      </c>
      <c r="E21" s="263">
        <v>0</v>
      </c>
      <c r="F21" s="264">
        <v>161385</v>
      </c>
      <c r="G21" s="267">
        <f t="shared" si="8"/>
        <v>353421146.89471251</v>
      </c>
      <c r="H21" s="264">
        <v>164800</v>
      </c>
      <c r="I21" s="267">
        <v>63273806.945522308</v>
      </c>
      <c r="J21" s="264">
        <v>46368</v>
      </c>
      <c r="K21" s="262">
        <v>32254972</v>
      </c>
      <c r="L21" s="265"/>
      <c r="M21" s="266"/>
      <c r="N21" s="264"/>
      <c r="O21" s="262"/>
      <c r="P21" s="267">
        <v>0</v>
      </c>
      <c r="Q21" s="265"/>
      <c r="R21" s="266"/>
      <c r="S21" s="264">
        <v>1606</v>
      </c>
      <c r="T21" s="262">
        <v>31558007.969999999</v>
      </c>
      <c r="U21" s="508">
        <v>531</v>
      </c>
      <c r="V21" s="509">
        <v>3876680.6724776789</v>
      </c>
      <c r="W21" s="508">
        <v>0</v>
      </c>
      <c r="X21" s="509">
        <v>0</v>
      </c>
      <c r="Y21" s="508">
        <v>0</v>
      </c>
      <c r="Z21" s="509">
        <v>0</v>
      </c>
      <c r="AA21" s="508">
        <v>118712</v>
      </c>
      <c r="AB21" s="509">
        <v>267147473.21502274</v>
      </c>
      <c r="AC21" s="270">
        <v>3804.49</v>
      </c>
      <c r="AD21" s="271">
        <v>1213000</v>
      </c>
      <c r="AE21" s="270">
        <v>2315.1559999999999</v>
      </c>
      <c r="AF21" s="271">
        <v>1640000</v>
      </c>
      <c r="AG21" s="270">
        <v>1331.9749999999999</v>
      </c>
      <c r="AH21" s="271">
        <v>155000</v>
      </c>
      <c r="AI21" s="272">
        <f t="shared" si="10"/>
        <v>3804.49</v>
      </c>
      <c r="AJ21" s="272">
        <f t="shared" si="0"/>
        <v>124496.13100000001</v>
      </c>
      <c r="AK21" s="273">
        <f t="shared" si="5"/>
        <v>119243</v>
      </c>
      <c r="AL21" s="274">
        <f>V21+Z21+AB21</f>
        <v>271024153.88750041</v>
      </c>
      <c r="AM21" s="275">
        <f>R21+M21+O21+P21+T21+V21+X21+Z21+AB21+AD21+AF21+AH21</f>
        <v>305590161.85750043</v>
      </c>
      <c r="AN21" s="276">
        <f t="shared" si="6"/>
        <v>754540087.69773531</v>
      </c>
      <c r="AO21" s="277">
        <f t="shared" si="2"/>
        <v>305590161.85750043</v>
      </c>
      <c r="AP21" s="331"/>
      <c r="AQ21" s="278">
        <f t="shared" si="9"/>
        <v>751532087.69773531</v>
      </c>
      <c r="AR21" s="331">
        <f>IFERROR((VLOOKUP(B21,'АПП Баз'!$B$8:$Y$72,24,FALSE)*1000),0)</f>
        <v>676238169.05999982</v>
      </c>
      <c r="AS21" s="334">
        <f t="shared" si="3"/>
        <v>75293918.637735486</v>
      </c>
      <c r="AU21" s="444">
        <v>25451177.049999997</v>
      </c>
    </row>
    <row r="22" spans="1:47" ht="16.5" customHeight="1" x14ac:dyDescent="0.25">
      <c r="A22" s="261">
        <v>19</v>
      </c>
      <c r="B22" s="5">
        <v>390200</v>
      </c>
      <c r="C22" s="238" t="s">
        <v>29</v>
      </c>
      <c r="D22" s="507">
        <v>63840675.335171118</v>
      </c>
      <c r="E22" s="263">
        <v>19321718.409999996</v>
      </c>
      <c r="F22" s="264">
        <v>34462</v>
      </c>
      <c r="G22" s="267">
        <f t="shared" si="8"/>
        <v>49077038.321451053</v>
      </c>
      <c r="H22" s="264">
        <v>36380</v>
      </c>
      <c r="I22" s="267">
        <v>27658792.590061367</v>
      </c>
      <c r="J22" s="264">
        <v>9463</v>
      </c>
      <c r="K22" s="262">
        <v>6426562.8336586971</v>
      </c>
      <c r="L22" s="265"/>
      <c r="M22" s="266"/>
      <c r="N22" s="264"/>
      <c r="O22" s="262"/>
      <c r="P22" s="267">
        <v>0</v>
      </c>
      <c r="Q22" s="265"/>
      <c r="R22" s="266"/>
      <c r="S22" s="264"/>
      <c r="T22" s="262"/>
      <c r="U22" s="508">
        <v>6342</v>
      </c>
      <c r="V22" s="509">
        <v>18265892.340044644</v>
      </c>
      <c r="W22" s="508">
        <v>6529</v>
      </c>
      <c r="X22" s="509">
        <v>8283013.1399999997</v>
      </c>
      <c r="Y22" s="508">
        <v>1882</v>
      </c>
      <c r="Z22" s="509">
        <v>2040276.2</v>
      </c>
      <c r="AA22" s="508">
        <v>6157</v>
      </c>
      <c r="AB22" s="509">
        <v>12496174.38341937</v>
      </c>
      <c r="AC22" s="270">
        <v>8488.9359999999997</v>
      </c>
      <c r="AD22" s="271">
        <v>3063000</v>
      </c>
      <c r="AE22" s="270">
        <v>5846.1030000000001</v>
      </c>
      <c r="AF22" s="271">
        <v>2954000</v>
      </c>
      <c r="AG22" s="270">
        <v>2399.1799999999998</v>
      </c>
      <c r="AH22" s="271">
        <v>240000</v>
      </c>
      <c r="AI22" s="272">
        <f t="shared" si="10"/>
        <v>8488.9359999999997</v>
      </c>
      <c r="AJ22" s="272">
        <f t="shared" si="0"/>
        <v>29155.282999999999</v>
      </c>
      <c r="AK22" s="273">
        <f t="shared" si="5"/>
        <v>14381</v>
      </c>
      <c r="AL22" s="274">
        <f t="shared" si="5"/>
        <v>32802342.923464015</v>
      </c>
      <c r="AM22" s="275">
        <f t="shared" si="1"/>
        <v>47342356.063464016</v>
      </c>
      <c r="AN22" s="276">
        <f t="shared" si="6"/>
        <v>130504749.80863513</v>
      </c>
      <c r="AO22" s="277">
        <f t="shared" si="2"/>
        <v>47342356.063464016</v>
      </c>
      <c r="AP22" s="331"/>
      <c r="AQ22" s="278">
        <f t="shared" si="9"/>
        <v>124247749.80863513</v>
      </c>
      <c r="AR22" s="331">
        <f>IFERROR((VLOOKUP(B22,'АПП Баз'!$B$8:$Y$72,24,FALSE)*1000),0)</f>
        <v>115245386.17</v>
      </c>
      <c r="AS22" s="334">
        <f t="shared" si="3"/>
        <v>9002363.6386351287</v>
      </c>
      <c r="AU22" s="444">
        <v>12310501</v>
      </c>
    </row>
    <row r="23" spans="1:47" x14ac:dyDescent="0.25">
      <c r="A23" s="261">
        <v>20</v>
      </c>
      <c r="B23" s="5">
        <v>390160</v>
      </c>
      <c r="C23" s="238" t="s">
        <v>30</v>
      </c>
      <c r="D23" s="507">
        <v>64643660.594285734</v>
      </c>
      <c r="E23" s="263">
        <v>0</v>
      </c>
      <c r="F23" s="264">
        <v>35898</v>
      </c>
      <c r="G23" s="267">
        <f t="shared" si="8"/>
        <v>57150556.035306156</v>
      </c>
      <c r="H23" s="264">
        <v>37593</v>
      </c>
      <c r="I23" s="267">
        <v>379592.55897957832</v>
      </c>
      <c r="J23" s="264">
        <v>10226</v>
      </c>
      <c r="K23" s="262">
        <v>7113512</v>
      </c>
      <c r="L23" s="265"/>
      <c r="M23" s="266"/>
      <c r="N23" s="264"/>
      <c r="O23" s="262"/>
      <c r="P23" s="267">
        <v>0</v>
      </c>
      <c r="Q23" s="265"/>
      <c r="R23" s="266"/>
      <c r="S23" s="264"/>
      <c r="T23" s="262"/>
      <c r="U23" s="508">
        <v>6548</v>
      </c>
      <c r="V23" s="509">
        <v>19364897.021406248</v>
      </c>
      <c r="W23" s="508">
        <v>6711</v>
      </c>
      <c r="X23" s="509">
        <v>8514172.8699999992</v>
      </c>
      <c r="Y23" s="508">
        <v>1901</v>
      </c>
      <c r="Z23" s="509">
        <v>2060874.1</v>
      </c>
      <c r="AA23" s="508">
        <v>6990</v>
      </c>
      <c r="AB23" s="509">
        <v>14405953.365680544</v>
      </c>
      <c r="AC23" s="270">
        <v>2780.6980000000003</v>
      </c>
      <c r="AD23" s="271">
        <v>980000</v>
      </c>
      <c r="AE23" s="270">
        <v>1870.4480000000001</v>
      </c>
      <c r="AF23" s="271">
        <v>947000</v>
      </c>
      <c r="AG23" s="270">
        <v>769.13400000000001</v>
      </c>
      <c r="AH23" s="271">
        <v>139000</v>
      </c>
      <c r="AI23" s="272">
        <f t="shared" si="10"/>
        <v>2780.6980000000003</v>
      </c>
      <c r="AJ23" s="272">
        <f t="shared" si="0"/>
        <v>24789.582000000002</v>
      </c>
      <c r="AK23" s="273">
        <f t="shared" si="5"/>
        <v>15439</v>
      </c>
      <c r="AL23" s="274">
        <f t="shared" si="5"/>
        <v>35831724.487086795</v>
      </c>
      <c r="AM23" s="275">
        <f t="shared" si="1"/>
        <v>46411897.357086793</v>
      </c>
      <c r="AN23" s="276">
        <f t="shared" si="6"/>
        <v>111055557.95137253</v>
      </c>
      <c r="AO23" s="277">
        <f t="shared" si="2"/>
        <v>46411897.357086793</v>
      </c>
      <c r="AP23" s="331"/>
      <c r="AQ23" s="278">
        <f t="shared" si="9"/>
        <v>108989557.95137253</v>
      </c>
      <c r="AR23" s="331">
        <f>IFERROR((VLOOKUP(B23,'АПП Баз'!$B$8:$Y$72,24,FALSE)*1000),0)</f>
        <v>104856456.30999999</v>
      </c>
      <c r="AS23" s="334">
        <f t="shared" si="3"/>
        <v>4133101.6413725466</v>
      </c>
      <c r="AU23" s="444">
        <v>5752003.0700000003</v>
      </c>
    </row>
    <row r="24" spans="1:47" x14ac:dyDescent="0.25">
      <c r="A24" s="261">
        <v>21</v>
      </c>
      <c r="B24" s="201">
        <v>390210</v>
      </c>
      <c r="C24" s="238" t="s">
        <v>31</v>
      </c>
      <c r="D24" s="507">
        <v>63935337.172044843</v>
      </c>
      <c r="E24" s="263">
        <v>12765431.92</v>
      </c>
      <c r="F24" s="264">
        <v>35898</v>
      </c>
      <c r="G24" s="267">
        <f t="shared" si="8"/>
        <v>38572865.291728035</v>
      </c>
      <c r="H24" s="264">
        <v>37682</v>
      </c>
      <c r="I24" s="267">
        <v>31473953.162622273</v>
      </c>
      <c r="J24" s="264">
        <v>9843</v>
      </c>
      <c r="K24" s="262">
        <v>6653950.6376945348</v>
      </c>
      <c r="L24" s="265"/>
      <c r="M24" s="266"/>
      <c r="N24" s="264"/>
      <c r="O24" s="262"/>
      <c r="P24" s="267">
        <v>0</v>
      </c>
      <c r="Q24" s="265"/>
      <c r="R24" s="266"/>
      <c r="S24" s="264"/>
      <c r="T24" s="262"/>
      <c r="U24" s="508">
        <v>6632</v>
      </c>
      <c r="V24" s="509">
        <v>19140101.24450893</v>
      </c>
      <c r="W24" s="508">
        <v>6841</v>
      </c>
      <c r="X24" s="509">
        <v>8678805.75</v>
      </c>
      <c r="Y24" s="508">
        <v>2032</v>
      </c>
      <c r="Z24" s="509">
        <v>2202891.2000000002</v>
      </c>
      <c r="AA24" s="508">
        <v>6593</v>
      </c>
      <c r="AB24" s="509">
        <v>13430762.244573032</v>
      </c>
      <c r="AC24" s="270">
        <v>4951.8540000000003</v>
      </c>
      <c r="AD24" s="271">
        <v>2180000</v>
      </c>
      <c r="AE24" s="270">
        <v>4160.7920000000004</v>
      </c>
      <c r="AF24" s="271">
        <v>819000</v>
      </c>
      <c r="AG24" s="270">
        <v>665.17499999999995</v>
      </c>
      <c r="AH24" s="271">
        <v>124000</v>
      </c>
      <c r="AI24" s="272">
        <f t="shared" si="10"/>
        <v>4951.8540000000003</v>
      </c>
      <c r="AJ24" s="272">
        <f t="shared" si="0"/>
        <v>26923.967000000001</v>
      </c>
      <c r="AK24" s="273">
        <f t="shared" si="5"/>
        <v>15257</v>
      </c>
      <c r="AL24" s="274">
        <f t="shared" si="5"/>
        <v>34773754.689081959</v>
      </c>
      <c r="AM24" s="275">
        <f t="shared" si="1"/>
        <v>46575560.439081959</v>
      </c>
      <c r="AN24" s="276">
        <f t="shared" si="6"/>
        <v>123276329.5311268</v>
      </c>
      <c r="AO24" s="277">
        <f t="shared" si="2"/>
        <v>46575560.439081959</v>
      </c>
      <c r="AP24" s="331"/>
      <c r="AQ24" s="278">
        <f t="shared" si="9"/>
        <v>120153329.5311268</v>
      </c>
      <c r="AR24" s="331">
        <f>IFERROR((VLOOKUP(B24,'АПП Баз'!$B$8:$Y$72,24,FALSE)*1000),0)</f>
        <v>115408492.14</v>
      </c>
      <c r="AS24" s="334">
        <f t="shared" si="3"/>
        <v>4744837.3911267966</v>
      </c>
      <c r="AU24" s="444">
        <v>8966927.2000000011</v>
      </c>
    </row>
    <row r="25" spans="1:47" x14ac:dyDescent="0.25">
      <c r="A25" s="261">
        <v>22</v>
      </c>
      <c r="B25" s="5">
        <v>390220</v>
      </c>
      <c r="C25" s="238" t="s">
        <v>181</v>
      </c>
      <c r="D25" s="507">
        <v>162402985.91985813</v>
      </c>
      <c r="E25" s="263">
        <v>18642775.949999999</v>
      </c>
      <c r="F25" s="264">
        <v>99079</v>
      </c>
      <c r="G25" s="267">
        <f t="shared" si="8"/>
        <v>113475566.48985447</v>
      </c>
      <c r="H25" s="264">
        <v>102786</v>
      </c>
      <c r="I25" s="267">
        <v>48733665.129897282</v>
      </c>
      <c r="J25" s="264">
        <v>27526</v>
      </c>
      <c r="K25" s="262">
        <v>18836530.250106361</v>
      </c>
      <c r="L25" s="265"/>
      <c r="M25" s="266"/>
      <c r="N25" s="264"/>
      <c r="O25" s="262"/>
      <c r="P25" s="267">
        <v>0</v>
      </c>
      <c r="Q25" s="265"/>
      <c r="R25" s="266"/>
      <c r="S25" s="264"/>
      <c r="T25" s="262"/>
      <c r="U25" s="508">
        <v>17295</v>
      </c>
      <c r="V25" s="509">
        <v>50274784.811830357</v>
      </c>
      <c r="W25" s="508">
        <v>17776</v>
      </c>
      <c r="X25" s="509">
        <v>22550494.84</v>
      </c>
      <c r="Y25" s="508">
        <v>4780</v>
      </c>
      <c r="Z25" s="509">
        <v>5181998</v>
      </c>
      <c r="AA25" s="508">
        <v>22134</v>
      </c>
      <c r="AB25" s="509">
        <v>46177210.638462916</v>
      </c>
      <c r="AC25" s="270">
        <v>17346.356</v>
      </c>
      <c r="AD25" s="271">
        <v>6828000</v>
      </c>
      <c r="AE25" s="270">
        <v>13032.057000000001</v>
      </c>
      <c r="AF25" s="271">
        <v>4982000</v>
      </c>
      <c r="AG25" s="270">
        <v>4046.2809999999999</v>
      </c>
      <c r="AH25" s="271">
        <v>264000</v>
      </c>
      <c r="AI25" s="272">
        <f t="shared" si="10"/>
        <v>17346.356</v>
      </c>
      <c r="AJ25" s="272">
        <f t="shared" si="0"/>
        <v>79063.338000000003</v>
      </c>
      <c r="AK25" s="273">
        <f t="shared" si="5"/>
        <v>44209</v>
      </c>
      <c r="AL25" s="274">
        <f t="shared" si="5"/>
        <v>101633993.45029327</v>
      </c>
      <c r="AM25" s="275">
        <f t="shared" si="1"/>
        <v>136258488.29029328</v>
      </c>
      <c r="AN25" s="276">
        <f t="shared" si="6"/>
        <v>317304250.16015136</v>
      </c>
      <c r="AO25" s="277">
        <f t="shared" si="2"/>
        <v>136258488.29029328</v>
      </c>
      <c r="AP25" s="331"/>
      <c r="AQ25" s="278">
        <f t="shared" si="9"/>
        <v>305230250.16015136</v>
      </c>
      <c r="AR25" s="331">
        <f>IFERROR((VLOOKUP(B25,'АПП Баз'!$B$8:$Y$72,24,FALSE)*1000),0)</f>
        <v>252184669.09999999</v>
      </c>
      <c r="AS25" s="334">
        <f t="shared" si="3"/>
        <v>53045581.060151368</v>
      </c>
      <c r="AU25" s="444">
        <v>0</v>
      </c>
    </row>
    <row r="26" spans="1:47" x14ac:dyDescent="0.25">
      <c r="A26" s="261">
        <v>23</v>
      </c>
      <c r="B26" s="5">
        <v>390230</v>
      </c>
      <c r="C26" s="238" t="s">
        <v>33</v>
      </c>
      <c r="D26" s="507">
        <v>68777129.074146628</v>
      </c>
      <c r="E26" s="263">
        <v>8985127.0399999991</v>
      </c>
      <c r="F26" s="264">
        <v>41642</v>
      </c>
      <c r="G26" s="267">
        <f t="shared" si="8"/>
        <v>49904563.503681988</v>
      </c>
      <c r="H26" s="264">
        <v>43983</v>
      </c>
      <c r="I26" s="267">
        <v>20114447.252084129</v>
      </c>
      <c r="J26" s="264">
        <v>11348</v>
      </c>
      <c r="K26" s="262">
        <v>7743245.358380503</v>
      </c>
      <c r="L26" s="265"/>
      <c r="M26" s="266"/>
      <c r="N26" s="264"/>
      <c r="O26" s="262"/>
      <c r="P26" s="267">
        <v>0</v>
      </c>
      <c r="Q26" s="265"/>
      <c r="R26" s="266"/>
      <c r="S26" s="264"/>
      <c r="T26" s="262"/>
      <c r="U26" s="508">
        <v>7621</v>
      </c>
      <c r="V26" s="509">
        <v>22463906.343861606</v>
      </c>
      <c r="W26" s="508">
        <v>7787</v>
      </c>
      <c r="X26" s="509">
        <v>9877973.1699999999</v>
      </c>
      <c r="Y26" s="508">
        <v>2351</v>
      </c>
      <c r="Z26" s="509">
        <v>2548719.1</v>
      </c>
      <c r="AA26" s="508">
        <v>7296</v>
      </c>
      <c r="AB26" s="509">
        <v>14850000.211481189</v>
      </c>
      <c r="AC26" s="270">
        <v>9001.1779999999999</v>
      </c>
      <c r="AD26" s="271">
        <v>2815000</v>
      </c>
      <c r="AE26" s="270">
        <v>5372.7650000000003</v>
      </c>
      <c r="AF26" s="271">
        <v>4210000</v>
      </c>
      <c r="AG26" s="270">
        <v>3419.2779999999998</v>
      </c>
      <c r="AH26" s="271">
        <v>206000</v>
      </c>
      <c r="AI26" s="272">
        <f t="shared" si="10"/>
        <v>9001.1779999999999</v>
      </c>
      <c r="AJ26" s="272">
        <f t="shared" si="0"/>
        <v>33847.042999999998</v>
      </c>
      <c r="AK26" s="273">
        <f t="shared" si="5"/>
        <v>17268</v>
      </c>
      <c r="AL26" s="274">
        <f t="shared" si="5"/>
        <v>39862625.655342795</v>
      </c>
      <c r="AM26" s="275">
        <f t="shared" si="1"/>
        <v>56971598.825342797</v>
      </c>
      <c r="AN26" s="276">
        <f t="shared" si="6"/>
        <v>134733854.93948942</v>
      </c>
      <c r="AO26" s="277">
        <f t="shared" si="2"/>
        <v>56971598.825342797</v>
      </c>
      <c r="AP26" s="331"/>
      <c r="AQ26" s="278">
        <f t="shared" si="9"/>
        <v>127502854.93948942</v>
      </c>
      <c r="AR26" s="331">
        <f>IFERROR((VLOOKUP(B26,'АПП Баз'!$B$8:$Y$72,24,FALSE)*1000),0)</f>
        <v>125431124.09</v>
      </c>
      <c r="AS26" s="334">
        <f t="shared" si="3"/>
        <v>2071730.8494894207</v>
      </c>
      <c r="AU26" s="444">
        <v>605902.75</v>
      </c>
    </row>
    <row r="27" spans="1:47" x14ac:dyDescent="0.25">
      <c r="A27" s="261">
        <v>24</v>
      </c>
      <c r="B27" s="5">
        <v>390240</v>
      </c>
      <c r="C27" s="238" t="s">
        <v>34</v>
      </c>
      <c r="D27" s="507">
        <v>89981689.440559477</v>
      </c>
      <c r="E27" s="263">
        <v>17426062.559999999</v>
      </c>
      <c r="F27" s="264">
        <v>45950</v>
      </c>
      <c r="G27" s="267">
        <f t="shared" si="8"/>
        <v>67360933.439738065</v>
      </c>
      <c r="H27" s="264">
        <v>48192</v>
      </c>
      <c r="I27" s="267">
        <v>31448382.052773356</v>
      </c>
      <c r="J27" s="264">
        <v>12588</v>
      </c>
      <c r="K27" s="262">
        <v>8598436.5080480613</v>
      </c>
      <c r="L27" s="265"/>
      <c r="M27" s="266"/>
      <c r="N27" s="264"/>
      <c r="O27" s="262"/>
      <c r="P27" s="267">
        <v>0</v>
      </c>
      <c r="Q27" s="265"/>
      <c r="R27" s="266"/>
      <c r="S27" s="264"/>
      <c r="T27" s="262"/>
      <c r="U27" s="508">
        <v>8405</v>
      </c>
      <c r="V27" s="509">
        <v>24507420.805915177</v>
      </c>
      <c r="W27" s="508">
        <v>8630</v>
      </c>
      <c r="X27" s="509">
        <v>10948297.460000001</v>
      </c>
      <c r="Y27" s="508">
        <v>2549</v>
      </c>
      <c r="Z27" s="509">
        <v>2763370.9</v>
      </c>
      <c r="AA27" s="508">
        <v>8409</v>
      </c>
      <c r="AB27" s="509">
        <v>17166338.110618226</v>
      </c>
      <c r="AC27" s="270">
        <v>6431.2400000000007</v>
      </c>
      <c r="AD27" s="271">
        <v>2395000</v>
      </c>
      <c r="AE27" s="270">
        <v>4571.1450000000004</v>
      </c>
      <c r="AF27" s="271">
        <v>2149000</v>
      </c>
      <c r="AG27" s="270">
        <v>1745.375</v>
      </c>
      <c r="AH27" s="271">
        <v>113000</v>
      </c>
      <c r="AI27" s="272">
        <f t="shared" si="10"/>
        <v>6431.2400000000007</v>
      </c>
      <c r="AJ27" s="272">
        <f t="shared" si="0"/>
        <v>34309.520000000004</v>
      </c>
      <c r="AK27" s="273">
        <f t="shared" si="5"/>
        <v>19363</v>
      </c>
      <c r="AL27" s="274">
        <f t="shared" si="5"/>
        <v>44437129.816533402</v>
      </c>
      <c r="AM27" s="275">
        <f t="shared" si="1"/>
        <v>60042427.276533403</v>
      </c>
      <c r="AN27" s="276">
        <f t="shared" si="6"/>
        <v>167450179.27709287</v>
      </c>
      <c r="AO27" s="277">
        <f t="shared" si="2"/>
        <v>60042427.276533403</v>
      </c>
      <c r="AP27" s="331"/>
      <c r="AQ27" s="278">
        <f t="shared" si="9"/>
        <v>162793179.27709287</v>
      </c>
      <c r="AR27" s="331">
        <f>IFERROR((VLOOKUP(B27,'АПП Баз'!$B$8:$Y$72,24,FALSE)*1000),0)</f>
        <v>170309833.50999999</v>
      </c>
      <c r="AS27" s="334">
        <f t="shared" si="3"/>
        <v>-7516654.2329071164</v>
      </c>
      <c r="AU27" s="444">
        <v>13166058.789999999</v>
      </c>
    </row>
    <row r="28" spans="1:47" ht="14.25" customHeight="1" x14ac:dyDescent="0.25">
      <c r="A28" s="261">
        <v>25</v>
      </c>
      <c r="B28" s="5">
        <v>390290</v>
      </c>
      <c r="C28" s="238" t="s">
        <v>35</v>
      </c>
      <c r="D28" s="507">
        <v>22740854.615117006</v>
      </c>
      <c r="E28" s="263">
        <v>8778977.959999999</v>
      </c>
      <c r="F28" s="264">
        <v>12923</v>
      </c>
      <c r="G28" s="267">
        <f t="shared" si="8"/>
        <v>16626532.243129984</v>
      </c>
      <c r="H28" s="264">
        <v>13731</v>
      </c>
      <c r="I28" s="267">
        <v>12254080.331987025</v>
      </c>
      <c r="J28" s="264">
        <v>3794</v>
      </c>
      <c r="K28" s="262">
        <v>2639220</v>
      </c>
      <c r="L28" s="265"/>
      <c r="M28" s="266"/>
      <c r="N28" s="264"/>
      <c r="O28" s="262"/>
      <c r="P28" s="267">
        <v>0</v>
      </c>
      <c r="Q28" s="265"/>
      <c r="R28" s="266"/>
      <c r="S28" s="264"/>
      <c r="T28" s="262"/>
      <c r="U28" s="508">
        <v>2503</v>
      </c>
      <c r="V28" s="509">
        <v>7414771.5121205365</v>
      </c>
      <c r="W28" s="508">
        <v>2529</v>
      </c>
      <c r="X28" s="509">
        <v>3208867.58</v>
      </c>
      <c r="Y28" s="508">
        <v>783</v>
      </c>
      <c r="Z28" s="509">
        <v>848850.3</v>
      </c>
      <c r="AA28" s="508">
        <v>2300</v>
      </c>
      <c r="AB28" s="509">
        <v>4650803.5539039774</v>
      </c>
      <c r="AC28" s="270">
        <v>1942.9359999999999</v>
      </c>
      <c r="AD28" s="271">
        <v>775000</v>
      </c>
      <c r="AE28" s="270">
        <v>1479.181</v>
      </c>
      <c r="AF28" s="271">
        <v>521000</v>
      </c>
      <c r="AG28" s="270">
        <v>423.14600000000002</v>
      </c>
      <c r="AH28" s="271">
        <v>40000</v>
      </c>
      <c r="AI28" s="272">
        <f t="shared" si="10"/>
        <v>1942.9359999999999</v>
      </c>
      <c r="AJ28" s="272">
        <f t="shared" si="0"/>
        <v>10017.327000000001</v>
      </c>
      <c r="AK28" s="273">
        <f t="shared" si="5"/>
        <v>5586</v>
      </c>
      <c r="AL28" s="274">
        <f t="shared" si="5"/>
        <v>12914425.366024513</v>
      </c>
      <c r="AM28" s="275">
        <f t="shared" si="1"/>
        <v>17459292.946024515</v>
      </c>
      <c r="AN28" s="276">
        <f t="shared" si="6"/>
        <v>48979125.521141522</v>
      </c>
      <c r="AO28" s="277">
        <f t="shared" si="2"/>
        <v>17459292.946024515</v>
      </c>
      <c r="AP28" s="331"/>
      <c r="AQ28" s="278">
        <f t="shared" si="9"/>
        <v>47643125.521141522</v>
      </c>
      <c r="AR28" s="331">
        <f>IFERROR((VLOOKUP(B28,'АПП Баз'!$B$8:$Y$72,24,FALSE)*1000),0)</f>
        <v>48569154.640000008</v>
      </c>
      <c r="AS28" s="334">
        <f t="shared" si="3"/>
        <v>-926029.11885848641</v>
      </c>
      <c r="AU28" s="444">
        <v>137806.34999999998</v>
      </c>
    </row>
    <row r="29" spans="1:47" x14ac:dyDescent="0.25">
      <c r="A29" s="261">
        <v>26</v>
      </c>
      <c r="B29" s="5">
        <v>390380</v>
      </c>
      <c r="C29" s="238" t="s">
        <v>36</v>
      </c>
      <c r="D29" s="507">
        <v>12817493.470450625</v>
      </c>
      <c r="E29" s="263">
        <v>0</v>
      </c>
      <c r="F29" s="264">
        <v>8616</v>
      </c>
      <c r="G29" s="267">
        <f t="shared" si="8"/>
        <v>9046349.6992137153</v>
      </c>
      <c r="H29" s="264">
        <v>9048</v>
      </c>
      <c r="I29" s="267">
        <v>2104414.7712369096</v>
      </c>
      <c r="J29" s="264">
        <v>2396</v>
      </c>
      <c r="K29" s="262">
        <v>1666729</v>
      </c>
      <c r="L29" s="265"/>
      <c r="M29" s="266"/>
      <c r="N29" s="264"/>
      <c r="O29" s="262"/>
      <c r="P29" s="267">
        <v>0</v>
      </c>
      <c r="Q29" s="265"/>
      <c r="R29" s="266"/>
      <c r="S29" s="264"/>
      <c r="T29" s="262"/>
      <c r="U29" s="508">
        <v>1586</v>
      </c>
      <c r="V29" s="509">
        <v>4570488.0213839281</v>
      </c>
      <c r="W29" s="508">
        <v>1638</v>
      </c>
      <c r="X29" s="509">
        <v>2078332.29</v>
      </c>
      <c r="Y29" s="508">
        <v>508</v>
      </c>
      <c r="Z29" s="509">
        <v>550722.80000000005</v>
      </c>
      <c r="AA29" s="508">
        <v>1436</v>
      </c>
      <c r="AB29" s="509">
        <v>2896056.7029349101</v>
      </c>
      <c r="AC29" s="270">
        <v>773.88499999999999</v>
      </c>
      <c r="AD29" s="271">
        <v>301000</v>
      </c>
      <c r="AE29" s="270">
        <v>574.495</v>
      </c>
      <c r="AF29" s="271">
        <v>223000</v>
      </c>
      <c r="AG29" s="270">
        <v>181.11600000000001</v>
      </c>
      <c r="AH29" s="271">
        <v>18000</v>
      </c>
      <c r="AI29" s="272">
        <f t="shared" si="10"/>
        <v>773.88499999999999</v>
      </c>
      <c r="AJ29" s="272">
        <f t="shared" si="0"/>
        <v>5923.6109999999999</v>
      </c>
      <c r="AK29" s="273">
        <f t="shared" si="5"/>
        <v>3530</v>
      </c>
      <c r="AL29" s="274">
        <f t="shared" si="5"/>
        <v>8017267.5243188385</v>
      </c>
      <c r="AM29" s="275">
        <f t="shared" si="1"/>
        <v>10637599.814318838</v>
      </c>
      <c r="AN29" s="276">
        <f t="shared" si="6"/>
        <v>23455093.284769461</v>
      </c>
      <c r="AO29" s="277">
        <f t="shared" si="2"/>
        <v>10637599.814318838</v>
      </c>
      <c r="AP29" s="331"/>
      <c r="AQ29" s="278">
        <f t="shared" si="9"/>
        <v>22913093.284769461</v>
      </c>
      <c r="AR29" s="331">
        <f>IFERROR((VLOOKUP(B29,'АПП Баз'!$B$8:$Y$72,24,FALSE)*1000),0)</f>
        <v>21101562.199999999</v>
      </c>
      <c r="AS29" s="334">
        <f t="shared" si="3"/>
        <v>1811531.0847694613</v>
      </c>
      <c r="AU29" s="444">
        <v>0</v>
      </c>
    </row>
    <row r="30" spans="1:47" x14ac:dyDescent="0.25">
      <c r="A30" s="261">
        <v>27</v>
      </c>
      <c r="B30" s="5">
        <v>390370</v>
      </c>
      <c r="C30" s="238" t="s">
        <v>37</v>
      </c>
      <c r="D30" s="507">
        <v>25914851.944425862</v>
      </c>
      <c r="E30" s="263">
        <v>0</v>
      </c>
      <c r="F30" s="264">
        <v>14359</v>
      </c>
      <c r="G30" s="267">
        <f t="shared" si="8"/>
        <v>19468541.617922723</v>
      </c>
      <c r="H30" s="264">
        <v>15102</v>
      </c>
      <c r="I30" s="267">
        <v>3619270.3265031371</v>
      </c>
      <c r="J30" s="264">
        <v>4064</v>
      </c>
      <c r="K30" s="262">
        <v>2827040</v>
      </c>
      <c r="L30" s="265"/>
      <c r="M30" s="266"/>
      <c r="N30" s="264"/>
      <c r="O30" s="262"/>
      <c r="P30" s="267">
        <v>0</v>
      </c>
      <c r="Q30" s="265"/>
      <c r="R30" s="266"/>
      <c r="S30" s="264"/>
      <c r="T30" s="262"/>
      <c r="U30" s="508">
        <v>2639</v>
      </c>
      <c r="V30" s="509">
        <v>7649118.085870536</v>
      </c>
      <c r="W30" s="508">
        <v>2721</v>
      </c>
      <c r="X30" s="509">
        <v>3451395.83</v>
      </c>
      <c r="Y30" s="508">
        <v>791</v>
      </c>
      <c r="Z30" s="509">
        <v>857523.1</v>
      </c>
      <c r="AA30" s="508">
        <v>2572</v>
      </c>
      <c r="AB30" s="509">
        <v>5235004.3065343359</v>
      </c>
      <c r="AC30" s="270">
        <v>1867.3219999999999</v>
      </c>
      <c r="AD30" s="271">
        <v>619000</v>
      </c>
      <c r="AE30" s="270">
        <v>1181.4359999999999</v>
      </c>
      <c r="AF30" s="271">
        <v>767000</v>
      </c>
      <c r="AG30" s="270">
        <v>622.94200000000001</v>
      </c>
      <c r="AH30" s="271">
        <v>62000</v>
      </c>
      <c r="AI30" s="272">
        <f t="shared" si="10"/>
        <v>1867.3219999999999</v>
      </c>
      <c r="AJ30" s="272">
        <f t="shared" si="0"/>
        <v>10527.378000000001</v>
      </c>
      <c r="AK30" s="273">
        <f t="shared" si="5"/>
        <v>6002</v>
      </c>
      <c r="AL30" s="274">
        <f t="shared" si="5"/>
        <v>13741645.492404871</v>
      </c>
      <c r="AM30" s="275">
        <f t="shared" si="1"/>
        <v>18641041.322404873</v>
      </c>
      <c r="AN30" s="276">
        <f t="shared" si="6"/>
        <v>44555893.266830735</v>
      </c>
      <c r="AO30" s="277">
        <f t="shared" si="2"/>
        <v>18641041.322404873</v>
      </c>
      <c r="AP30" s="331"/>
      <c r="AQ30" s="278">
        <f t="shared" si="9"/>
        <v>43107893.266830735</v>
      </c>
      <c r="AR30" s="331">
        <f>IFERROR((VLOOKUP(B30,'АПП Баз'!$B$8:$Y$72,24,FALSE)*1000),0)</f>
        <v>46417226.019999996</v>
      </c>
      <c r="AS30" s="334">
        <f t="shared" si="3"/>
        <v>-3309332.7531692609</v>
      </c>
      <c r="AU30" s="444">
        <v>3259896.0599999996</v>
      </c>
    </row>
    <row r="31" spans="1:47" x14ac:dyDescent="0.25">
      <c r="A31" s="261">
        <v>28</v>
      </c>
      <c r="B31" s="5">
        <v>390480</v>
      </c>
      <c r="C31" s="238" t="s">
        <v>96</v>
      </c>
      <c r="D31" s="507">
        <v>85064110.995080993</v>
      </c>
      <c r="E31" s="263">
        <v>895149.71</v>
      </c>
      <c r="F31" s="264">
        <v>50258</v>
      </c>
      <c r="G31" s="267">
        <f t="shared" si="8"/>
        <v>60288273.455160551</v>
      </c>
      <c r="H31" s="264">
        <v>52662</v>
      </c>
      <c r="I31" s="267">
        <v>15895809.689071395</v>
      </c>
      <c r="J31" s="264">
        <v>14218</v>
      </c>
      <c r="K31" s="262">
        <v>9775177.5608490482</v>
      </c>
      <c r="L31" s="265"/>
      <c r="M31" s="266"/>
      <c r="N31" s="264"/>
      <c r="O31" s="262"/>
      <c r="P31" s="267">
        <v>0</v>
      </c>
      <c r="Q31" s="265"/>
      <c r="R31" s="266"/>
      <c r="S31" s="264"/>
      <c r="T31" s="262"/>
      <c r="U31" s="508">
        <v>9550</v>
      </c>
      <c r="V31" s="509">
        <v>27995075.705558036</v>
      </c>
      <c r="W31" s="508">
        <v>9809</v>
      </c>
      <c r="X31" s="509">
        <v>12443888.279999999</v>
      </c>
      <c r="Y31" s="508">
        <v>2944</v>
      </c>
      <c r="Z31" s="509">
        <v>3191590.4</v>
      </c>
      <c r="AA31" s="508">
        <v>9011</v>
      </c>
      <c r="AB31" s="509">
        <v>18313020.384014618</v>
      </c>
      <c r="AC31" s="270">
        <v>11668.213</v>
      </c>
      <c r="AD31" s="271">
        <v>3698000</v>
      </c>
      <c r="AE31" s="270">
        <v>7058.0770000000002</v>
      </c>
      <c r="AF31" s="271">
        <v>5405000</v>
      </c>
      <c r="AG31" s="270">
        <v>4389.8329999999996</v>
      </c>
      <c r="AH31" s="271">
        <v>217000</v>
      </c>
      <c r="AI31" s="272">
        <f t="shared" si="10"/>
        <v>11668.213</v>
      </c>
      <c r="AJ31" s="272">
        <f t="shared" si="0"/>
        <v>42761.909999999996</v>
      </c>
      <c r="AK31" s="273">
        <f t="shared" si="5"/>
        <v>21505</v>
      </c>
      <c r="AL31" s="274">
        <f t="shared" si="5"/>
        <v>49499686.489572652</v>
      </c>
      <c r="AM31" s="275">
        <f t="shared" si="1"/>
        <v>71263574.769572645</v>
      </c>
      <c r="AN31" s="276">
        <f t="shared" si="6"/>
        <v>157222835.47465363</v>
      </c>
      <c r="AO31" s="277">
        <f t="shared" si="2"/>
        <v>71263574.769572645</v>
      </c>
      <c r="AP31" s="331"/>
      <c r="AQ31" s="278">
        <f t="shared" si="9"/>
        <v>147902835.47465363</v>
      </c>
      <c r="AR31" s="331">
        <f>IFERROR((VLOOKUP(B31,'АПП Баз'!$B$8:$Y$72,24,FALSE)*1000),0)</f>
        <v>161577292.64999998</v>
      </c>
      <c r="AS31" s="334">
        <f t="shared" si="3"/>
        <v>-13674457.175346345</v>
      </c>
      <c r="AU31" s="444">
        <v>0</v>
      </c>
    </row>
    <row r="32" spans="1:47" x14ac:dyDescent="0.25">
      <c r="A32" s="261">
        <v>29</v>
      </c>
      <c r="B32" s="5">
        <v>390260</v>
      </c>
      <c r="C32" s="238" t="s">
        <v>38</v>
      </c>
      <c r="D32" s="507">
        <v>43493572.064161532</v>
      </c>
      <c r="E32" s="263">
        <v>8974001.3300000001</v>
      </c>
      <c r="F32" s="264">
        <v>22975</v>
      </c>
      <c r="G32" s="267">
        <f t="shared" si="8"/>
        <v>32608397.68898635</v>
      </c>
      <c r="H32" s="264">
        <v>24246</v>
      </c>
      <c r="I32" s="267">
        <v>15650719.758044936</v>
      </c>
      <c r="J32" s="264">
        <v>6217</v>
      </c>
      <c r="K32" s="262">
        <v>4208455.9471302433</v>
      </c>
      <c r="L32" s="265"/>
      <c r="M32" s="266"/>
      <c r="N32" s="264"/>
      <c r="O32" s="262"/>
      <c r="P32" s="267">
        <v>0</v>
      </c>
      <c r="Q32" s="265"/>
      <c r="R32" s="266"/>
      <c r="S32" s="264"/>
      <c r="T32" s="262"/>
      <c r="U32" s="508">
        <v>4180</v>
      </c>
      <c r="V32" s="509">
        <v>12154664.119687499</v>
      </c>
      <c r="W32" s="508">
        <v>4290</v>
      </c>
      <c r="X32" s="509">
        <v>5442148.4699999997</v>
      </c>
      <c r="Y32" s="508">
        <v>1324</v>
      </c>
      <c r="Z32" s="509">
        <v>1435348.4</v>
      </c>
      <c r="AA32" s="508">
        <v>4099</v>
      </c>
      <c r="AB32" s="509">
        <v>8342541.7402352802</v>
      </c>
      <c r="AC32" s="270">
        <v>3951.7380000000003</v>
      </c>
      <c r="AD32" s="271">
        <v>1511000</v>
      </c>
      <c r="AE32" s="270">
        <v>2883.9250000000002</v>
      </c>
      <c r="AF32" s="271">
        <v>1171000</v>
      </c>
      <c r="AG32" s="270">
        <v>951.06299999999999</v>
      </c>
      <c r="AH32" s="271">
        <v>115000</v>
      </c>
      <c r="AI32" s="272">
        <f t="shared" si="10"/>
        <v>3951.7380000000003</v>
      </c>
      <c r="AJ32" s="272">
        <f t="shared" si="0"/>
        <v>17727.987999999998</v>
      </c>
      <c r="AK32" s="273">
        <f t="shared" si="5"/>
        <v>9603</v>
      </c>
      <c r="AL32" s="274">
        <f t="shared" si="5"/>
        <v>21932554.25992278</v>
      </c>
      <c r="AM32" s="275">
        <f t="shared" si="1"/>
        <v>30171702.729922779</v>
      </c>
      <c r="AN32" s="276">
        <f t="shared" si="6"/>
        <v>82639276.124084309</v>
      </c>
      <c r="AO32" s="277">
        <f t="shared" si="2"/>
        <v>30171702.729922779</v>
      </c>
      <c r="AP32" s="331"/>
      <c r="AQ32" s="278">
        <f t="shared" si="9"/>
        <v>79842276.124084309</v>
      </c>
      <c r="AR32" s="331">
        <f>IFERROR((VLOOKUP(B32,'АПП Баз'!$B$8:$Y$72,24,FALSE)*1000),0)</f>
        <v>80882226.920000002</v>
      </c>
      <c r="AS32" s="334">
        <f t="shared" si="3"/>
        <v>-1039950.795915693</v>
      </c>
      <c r="AU32" s="444">
        <v>3682747.08</v>
      </c>
    </row>
    <row r="33" spans="1:47" x14ac:dyDescent="0.25">
      <c r="A33" s="261">
        <v>30</v>
      </c>
      <c r="B33" s="5">
        <v>390250</v>
      </c>
      <c r="C33" s="238" t="s">
        <v>39</v>
      </c>
      <c r="D33" s="507">
        <v>31214577.796171624</v>
      </c>
      <c r="E33" s="263">
        <v>12409822.18</v>
      </c>
      <c r="F33" s="264">
        <v>17231</v>
      </c>
      <c r="G33" s="267">
        <f t="shared" si="8"/>
        <v>23467726.583746415</v>
      </c>
      <c r="H33" s="264">
        <v>18226</v>
      </c>
      <c r="I33" s="267">
        <v>16828779.392425213</v>
      </c>
      <c r="J33" s="264">
        <v>4784</v>
      </c>
      <c r="K33" s="262">
        <v>3327894</v>
      </c>
      <c r="L33" s="265"/>
      <c r="M33" s="266"/>
      <c r="N33" s="264"/>
      <c r="O33" s="262"/>
      <c r="P33" s="267">
        <v>0</v>
      </c>
      <c r="Q33" s="265"/>
      <c r="R33" s="266"/>
      <c r="S33" s="264"/>
      <c r="T33" s="262"/>
      <c r="U33" s="508">
        <v>3152</v>
      </c>
      <c r="V33" s="509">
        <v>9372491.6231696438</v>
      </c>
      <c r="W33" s="508">
        <v>3182</v>
      </c>
      <c r="X33" s="509">
        <v>4036242.57</v>
      </c>
      <c r="Y33" s="508">
        <v>976</v>
      </c>
      <c r="Z33" s="509">
        <v>1058081.6000000001</v>
      </c>
      <c r="AA33" s="508">
        <v>2992</v>
      </c>
      <c r="AB33" s="509">
        <v>6074619.6635578647</v>
      </c>
      <c r="AC33" s="270">
        <v>1561.8210000000001</v>
      </c>
      <c r="AD33" s="271">
        <v>550000</v>
      </c>
      <c r="AE33" s="270">
        <v>1049.741</v>
      </c>
      <c r="AF33" s="271">
        <v>593000</v>
      </c>
      <c r="AG33" s="270">
        <v>481.62299999999999</v>
      </c>
      <c r="AH33" s="271">
        <v>30000</v>
      </c>
      <c r="AI33" s="272">
        <f t="shared" si="10"/>
        <v>1561.8210000000001</v>
      </c>
      <c r="AJ33" s="272">
        <f t="shared" si="0"/>
        <v>11833.364</v>
      </c>
      <c r="AK33" s="273">
        <f t="shared" si="5"/>
        <v>7120</v>
      </c>
      <c r="AL33" s="274">
        <f t="shared" si="5"/>
        <v>16505192.886727508</v>
      </c>
      <c r="AM33" s="275">
        <f t="shared" si="1"/>
        <v>21714435.456727508</v>
      </c>
      <c r="AN33" s="276">
        <f t="shared" si="6"/>
        <v>65338835.432899132</v>
      </c>
      <c r="AO33" s="277">
        <f t="shared" si="2"/>
        <v>21714435.456727508</v>
      </c>
      <c r="AP33" s="331"/>
      <c r="AQ33" s="278">
        <f t="shared" si="9"/>
        <v>64165835.432899132</v>
      </c>
      <c r="AR33" s="331">
        <f>IFERROR((VLOOKUP(B33,'АПП Баз'!$B$8:$Y$72,24,FALSE)*1000),0)</f>
        <v>61312904.359999999</v>
      </c>
      <c r="AS33" s="334">
        <f t="shared" si="3"/>
        <v>2852931.072899133</v>
      </c>
      <c r="AU33" s="444">
        <v>2957363.2000000002</v>
      </c>
    </row>
    <row r="34" spans="1:47" x14ac:dyDescent="0.25">
      <c r="A34" s="261">
        <v>31</v>
      </c>
      <c r="B34" s="5">
        <v>390300</v>
      </c>
      <c r="C34" s="238" t="s">
        <v>40</v>
      </c>
      <c r="D34" s="507">
        <v>27599304.488396149</v>
      </c>
      <c r="E34" s="263">
        <v>13624600.120000001</v>
      </c>
      <c r="F34" s="264">
        <v>15795</v>
      </c>
      <c r="G34" s="267">
        <f t="shared" si="8"/>
        <v>19971612.512516025</v>
      </c>
      <c r="H34" s="264">
        <v>16764</v>
      </c>
      <c r="I34" s="267">
        <v>18165086.095880125</v>
      </c>
      <c r="J34" s="264">
        <v>4438</v>
      </c>
      <c r="K34" s="262">
        <v>3087206</v>
      </c>
      <c r="L34" s="265"/>
      <c r="M34" s="266"/>
      <c r="N34" s="264"/>
      <c r="O34" s="262"/>
      <c r="P34" s="267">
        <v>0</v>
      </c>
      <c r="Q34" s="265"/>
      <c r="R34" s="266"/>
      <c r="S34" s="264"/>
      <c r="T34" s="262"/>
      <c r="U34" s="508">
        <v>2878</v>
      </c>
      <c r="V34" s="509">
        <v>8513581.6590178572</v>
      </c>
      <c r="W34" s="508">
        <v>2916</v>
      </c>
      <c r="X34" s="509">
        <v>3699818.85</v>
      </c>
      <c r="Y34" s="508">
        <v>886</v>
      </c>
      <c r="Z34" s="509">
        <v>960512.6</v>
      </c>
      <c r="AA34" s="508">
        <v>2830</v>
      </c>
      <c r="AB34" s="509">
        <v>5765360.5480664037</v>
      </c>
      <c r="AC34" s="270">
        <v>2149.837</v>
      </c>
      <c r="AD34" s="271">
        <v>855000</v>
      </c>
      <c r="AE34" s="270">
        <v>1631.87</v>
      </c>
      <c r="AF34" s="271">
        <v>579000</v>
      </c>
      <c r="AG34" s="270">
        <v>470.25200000000001</v>
      </c>
      <c r="AH34" s="271">
        <v>47000</v>
      </c>
      <c r="AI34" s="272">
        <f t="shared" si="10"/>
        <v>2149.837</v>
      </c>
      <c r="AJ34" s="272">
        <f t="shared" si="0"/>
        <v>11612.121999999999</v>
      </c>
      <c r="AK34" s="273">
        <f t="shared" si="5"/>
        <v>6594</v>
      </c>
      <c r="AL34" s="274">
        <f t="shared" si="5"/>
        <v>15239454.807084261</v>
      </c>
      <c r="AM34" s="275">
        <f t="shared" si="1"/>
        <v>20420273.65708426</v>
      </c>
      <c r="AN34" s="276">
        <f t="shared" si="6"/>
        <v>61644178.265480414</v>
      </c>
      <c r="AO34" s="277">
        <f t="shared" si="2"/>
        <v>20420273.65708426</v>
      </c>
      <c r="AP34" s="331"/>
      <c r="AQ34" s="278">
        <f t="shared" si="9"/>
        <v>60163178.265480414</v>
      </c>
      <c r="AR34" s="331">
        <f>IFERROR((VLOOKUP(B34,'АПП Баз'!$B$8:$Y$72,24,FALSE)*1000),0)</f>
        <v>62535645.240000002</v>
      </c>
      <c r="AS34" s="334">
        <f t="shared" si="3"/>
        <v>-2372466.9745195881</v>
      </c>
      <c r="AU34" s="444">
        <v>0</v>
      </c>
    </row>
    <row r="35" spans="1:47" x14ac:dyDescent="0.25">
      <c r="A35" s="261">
        <v>32</v>
      </c>
      <c r="B35" s="5">
        <v>390310</v>
      </c>
      <c r="C35" s="238" t="s">
        <v>117</v>
      </c>
      <c r="D35" s="507">
        <v>42044582.67267438</v>
      </c>
      <c r="E35" s="263">
        <v>9916521.6700000018</v>
      </c>
      <c r="F35" s="264">
        <v>22975</v>
      </c>
      <c r="G35" s="267">
        <f t="shared" si="8"/>
        <v>31237827.720924325</v>
      </c>
      <c r="H35" s="264">
        <v>24109</v>
      </c>
      <c r="I35" s="267">
        <v>16242028.621750057</v>
      </c>
      <c r="J35" s="264">
        <v>6442</v>
      </c>
      <c r="K35" s="262">
        <v>4481248</v>
      </c>
      <c r="L35" s="265"/>
      <c r="M35" s="266"/>
      <c r="N35" s="264"/>
      <c r="O35" s="262"/>
      <c r="P35" s="267">
        <v>0</v>
      </c>
      <c r="Q35" s="265"/>
      <c r="R35" s="266"/>
      <c r="S35" s="264"/>
      <c r="T35" s="262"/>
      <c r="U35" s="508">
        <v>4208</v>
      </c>
      <c r="V35" s="509">
        <v>12092857.999330357</v>
      </c>
      <c r="W35" s="508">
        <v>4342</v>
      </c>
      <c r="X35" s="509">
        <v>5508254.2599999998</v>
      </c>
      <c r="Y35" s="508">
        <v>1285</v>
      </c>
      <c r="Z35" s="509">
        <v>1393068.5</v>
      </c>
      <c r="AA35" s="508">
        <v>4074</v>
      </c>
      <c r="AB35" s="509">
        <v>8266957.3910936108</v>
      </c>
      <c r="AC35" s="270">
        <v>4829.3380000000006</v>
      </c>
      <c r="AD35" s="271">
        <v>1919000</v>
      </c>
      <c r="AE35" s="270">
        <v>3662.6419999999998</v>
      </c>
      <c r="AF35" s="271">
        <v>1304000</v>
      </c>
      <c r="AG35" s="270">
        <v>1059.0830000000001</v>
      </c>
      <c r="AH35" s="271">
        <v>106000</v>
      </c>
      <c r="AI35" s="272">
        <f t="shared" si="10"/>
        <v>4829.3380000000006</v>
      </c>
      <c r="AJ35" s="272">
        <f t="shared" si="0"/>
        <v>18630.724999999999</v>
      </c>
      <c r="AK35" s="273">
        <f t="shared" si="5"/>
        <v>9567</v>
      </c>
      <c r="AL35" s="274">
        <f t="shared" si="5"/>
        <v>21752883.890423968</v>
      </c>
      <c r="AM35" s="275">
        <f>R35+M35+O35+P35+T35+V35+X35+Z35+AB35+AD35+AF35+AH35</f>
        <v>30590138.150423966</v>
      </c>
      <c r="AN35" s="276">
        <f>D35+E35+AM35</f>
        <v>82551242.493098348</v>
      </c>
      <c r="AO35" s="277">
        <f>AM35-P35</f>
        <v>30590138.150423966</v>
      </c>
      <c r="AP35" s="331"/>
      <c r="AQ35" s="278">
        <f t="shared" si="9"/>
        <v>79222242.493098348</v>
      </c>
      <c r="AR35" s="331">
        <f>IFERROR((VLOOKUP(B35,'АПП Баз'!$B$8:$Y$72,24,FALSE)*1000),0)</f>
        <v>80687865.690000013</v>
      </c>
      <c r="AS35" s="334">
        <f t="shared" si="3"/>
        <v>-1465623.1969016641</v>
      </c>
      <c r="AU35" s="444">
        <v>4129875.75</v>
      </c>
    </row>
    <row r="36" spans="1:47" x14ac:dyDescent="0.25">
      <c r="A36" s="261">
        <v>33</v>
      </c>
      <c r="B36" s="5">
        <v>390320</v>
      </c>
      <c r="C36" s="238" t="s">
        <v>102</v>
      </c>
      <c r="D36" s="507">
        <v>39768045.636793412</v>
      </c>
      <c r="E36" s="263">
        <v>13141549.069999998</v>
      </c>
      <c r="F36" s="264">
        <v>22975</v>
      </c>
      <c r="G36" s="267">
        <f t="shared" si="8"/>
        <v>29728918.077736638</v>
      </c>
      <c r="H36" s="264">
        <v>24563</v>
      </c>
      <c r="I36" s="267">
        <v>18696645.629056774</v>
      </c>
      <c r="J36" s="264">
        <v>6446</v>
      </c>
      <c r="K36" s="262">
        <v>4484031</v>
      </c>
      <c r="L36" s="265"/>
      <c r="M36" s="266"/>
      <c r="N36" s="264"/>
      <c r="O36" s="262"/>
      <c r="P36" s="267">
        <v>0</v>
      </c>
      <c r="Q36" s="265"/>
      <c r="R36" s="266"/>
      <c r="S36" s="264"/>
      <c r="T36" s="262"/>
      <c r="U36" s="508">
        <v>4145</v>
      </c>
      <c r="V36" s="509">
        <v>11984225.498995535</v>
      </c>
      <c r="W36" s="508">
        <v>4262</v>
      </c>
      <c r="X36" s="509">
        <v>5406779.7699999996</v>
      </c>
      <c r="Y36" s="508">
        <v>1232</v>
      </c>
      <c r="Z36" s="509">
        <v>1335611.2</v>
      </c>
      <c r="AA36" s="508">
        <v>3954</v>
      </c>
      <c r="AB36" s="509">
        <v>8015054.7725472348</v>
      </c>
      <c r="AC36" s="270">
        <v>3872.511</v>
      </c>
      <c r="AD36" s="271">
        <v>1098000</v>
      </c>
      <c r="AE36" s="270">
        <v>2095.665</v>
      </c>
      <c r="AF36" s="271">
        <v>2049000</v>
      </c>
      <c r="AG36" s="270">
        <v>1664.1569999999999</v>
      </c>
      <c r="AH36" s="271">
        <v>111000</v>
      </c>
      <c r="AI36" s="272">
        <f t="shared" si="10"/>
        <v>3872.511</v>
      </c>
      <c r="AJ36" s="272">
        <f t="shared" si="0"/>
        <v>17352.822</v>
      </c>
      <c r="AK36" s="273">
        <f t="shared" si="5"/>
        <v>9331</v>
      </c>
      <c r="AL36" s="274">
        <f t="shared" si="5"/>
        <v>21334891.471542768</v>
      </c>
      <c r="AM36" s="275">
        <f t="shared" si="1"/>
        <v>29999671.241542768</v>
      </c>
      <c r="AN36" s="276">
        <f t="shared" si="6"/>
        <v>82909265.948336184</v>
      </c>
      <c r="AO36" s="277">
        <f t="shared" si="2"/>
        <v>29999671.241542768</v>
      </c>
      <c r="AP36" s="331"/>
      <c r="AQ36" s="278">
        <f t="shared" si="9"/>
        <v>79651265.948336184</v>
      </c>
      <c r="AR36" s="331">
        <f>IFERROR((VLOOKUP(B36,'АПП Баз'!$B$8:$Y$72,24,FALSE)*1000),0)</f>
        <v>78493447.010000005</v>
      </c>
      <c r="AS36" s="334">
        <f t="shared" si="3"/>
        <v>1157818.9383361787</v>
      </c>
      <c r="AU36" s="444">
        <v>3737920.75</v>
      </c>
    </row>
    <row r="37" spans="1:47" x14ac:dyDescent="0.25">
      <c r="A37" s="261">
        <v>34</v>
      </c>
      <c r="B37" s="5">
        <v>390180</v>
      </c>
      <c r="C37" s="238" t="s">
        <v>43</v>
      </c>
      <c r="D37" s="507">
        <v>66145569.190138638</v>
      </c>
      <c r="E37" s="263">
        <v>1991259.01</v>
      </c>
      <c r="F37" s="264">
        <v>38770</v>
      </c>
      <c r="G37" s="267">
        <f t="shared" si="8"/>
        <v>49111716.003302567</v>
      </c>
      <c r="H37" s="264">
        <v>40699</v>
      </c>
      <c r="I37" s="267">
        <v>11364139.196836079</v>
      </c>
      <c r="J37" s="264">
        <v>11013</v>
      </c>
      <c r="K37" s="262">
        <v>7660973</v>
      </c>
      <c r="L37" s="265"/>
      <c r="M37" s="266"/>
      <c r="N37" s="264"/>
      <c r="O37" s="262"/>
      <c r="P37" s="267">
        <v>0</v>
      </c>
      <c r="Q37" s="265"/>
      <c r="R37" s="266"/>
      <c r="S37" s="264"/>
      <c r="T37" s="262"/>
      <c r="U37" s="508">
        <v>7349</v>
      </c>
      <c r="V37" s="509">
        <v>21306464.518995535</v>
      </c>
      <c r="W37" s="508">
        <v>7571</v>
      </c>
      <c r="X37" s="509">
        <v>9604707.8399999999</v>
      </c>
      <c r="Y37" s="508">
        <v>2249</v>
      </c>
      <c r="Z37" s="509">
        <v>2438140.9</v>
      </c>
      <c r="AA37" s="508">
        <v>6520</v>
      </c>
      <c r="AB37" s="509">
        <v>13128802.661393527</v>
      </c>
      <c r="AC37" s="270">
        <v>12118.806</v>
      </c>
      <c r="AD37" s="271">
        <v>4726000</v>
      </c>
      <c r="AE37" s="270">
        <v>9020.1380000000008</v>
      </c>
      <c r="AF37" s="271">
        <v>3469000</v>
      </c>
      <c r="AG37" s="270">
        <v>2817.4520000000002</v>
      </c>
      <c r="AH37" s="271">
        <v>277000</v>
      </c>
      <c r="AI37" s="272">
        <f t="shared" si="10"/>
        <v>12118.806</v>
      </c>
      <c r="AJ37" s="272">
        <f t="shared" si="0"/>
        <v>35526.589999999997</v>
      </c>
      <c r="AK37" s="273">
        <f t="shared" si="5"/>
        <v>16118</v>
      </c>
      <c r="AL37" s="274">
        <f t="shared" si="5"/>
        <v>36873408.08038906</v>
      </c>
      <c r="AM37" s="275">
        <f t="shared" si="1"/>
        <v>54950115.920389056</v>
      </c>
      <c r="AN37" s="276">
        <f t="shared" si="6"/>
        <v>123086944.1205277</v>
      </c>
      <c r="AO37" s="277">
        <f t="shared" si="2"/>
        <v>54950115.920389056</v>
      </c>
      <c r="AP37" s="331"/>
      <c r="AQ37" s="278">
        <f t="shared" si="9"/>
        <v>114614944.1205277</v>
      </c>
      <c r="AR37" s="331">
        <f>IFERROR((VLOOKUP(B37,'АПП Баз'!$B$8:$Y$72,24,FALSE)*1000),0)</f>
        <v>115252136.54000001</v>
      </c>
      <c r="AS37" s="334">
        <f t="shared" si="3"/>
        <v>-637192.41947230697</v>
      </c>
      <c r="AU37" s="444">
        <v>7201988.8399999999</v>
      </c>
    </row>
    <row r="38" spans="1:47" x14ac:dyDescent="0.25">
      <c r="A38" s="261">
        <v>35</v>
      </c>
      <c r="B38" s="5">
        <v>390270</v>
      </c>
      <c r="C38" s="238" t="s">
        <v>100</v>
      </c>
      <c r="D38" s="507">
        <v>42313161.012027107</v>
      </c>
      <c r="E38" s="263">
        <v>14147255.74</v>
      </c>
      <c r="F38" s="264">
        <v>21539</v>
      </c>
      <c r="G38" s="267">
        <f t="shared" si="8"/>
        <v>32347294.500095166</v>
      </c>
      <c r="H38" s="264">
        <v>22723</v>
      </c>
      <c r="I38" s="267">
        <v>19774478.251931943</v>
      </c>
      <c r="J38" s="264">
        <v>6237</v>
      </c>
      <c r="K38" s="262">
        <v>4338644</v>
      </c>
      <c r="L38" s="265"/>
      <c r="M38" s="266"/>
      <c r="N38" s="264"/>
      <c r="O38" s="262"/>
      <c r="P38" s="267">
        <v>0</v>
      </c>
      <c r="Q38" s="265"/>
      <c r="R38" s="266"/>
      <c r="S38" s="264"/>
      <c r="T38" s="262"/>
      <c r="U38" s="508">
        <v>4109</v>
      </c>
      <c r="V38" s="509">
        <v>11930722.26970982</v>
      </c>
      <c r="W38" s="508">
        <v>4200</v>
      </c>
      <c r="X38" s="509">
        <v>5328042.3099999996</v>
      </c>
      <c r="Y38" s="508">
        <v>1234</v>
      </c>
      <c r="Z38" s="509">
        <v>1337779.3999999999</v>
      </c>
      <c r="AA38" s="508">
        <v>3822</v>
      </c>
      <c r="AB38" s="509">
        <v>7721743.1690123966</v>
      </c>
      <c r="AC38" s="270">
        <v>4791.6120000000001</v>
      </c>
      <c r="AD38" s="271">
        <v>1797000</v>
      </c>
      <c r="AE38" s="270">
        <v>3429.79</v>
      </c>
      <c r="AF38" s="271">
        <v>1523000</v>
      </c>
      <c r="AG38" s="270">
        <v>1236.95</v>
      </c>
      <c r="AH38" s="271">
        <v>123000</v>
      </c>
      <c r="AI38" s="272">
        <f t="shared" si="10"/>
        <v>4791.6120000000001</v>
      </c>
      <c r="AJ38" s="272">
        <f t="shared" si="0"/>
        <v>18031.740000000002</v>
      </c>
      <c r="AK38" s="273">
        <f t="shared" si="5"/>
        <v>9165</v>
      </c>
      <c r="AL38" s="274">
        <f t="shared" si="5"/>
        <v>20990244.838722218</v>
      </c>
      <c r="AM38" s="275">
        <f t="shared" si="1"/>
        <v>29761287.148722216</v>
      </c>
      <c r="AN38" s="276">
        <f t="shared" si="6"/>
        <v>86221703.900749326</v>
      </c>
      <c r="AO38" s="277">
        <f t="shared" si="2"/>
        <v>29761287.148722216</v>
      </c>
      <c r="AP38" s="331"/>
      <c r="AQ38" s="278">
        <f t="shared" si="9"/>
        <v>82778703.900749326</v>
      </c>
      <c r="AR38" s="331">
        <f>IFERROR((VLOOKUP(B38,'АПП Баз'!$B$8:$Y$72,24,FALSE)*1000),0)</f>
        <v>83962179.510000005</v>
      </c>
      <c r="AS38" s="334">
        <f t="shared" si="3"/>
        <v>-1183475.6092506796</v>
      </c>
      <c r="AU38" s="444">
        <v>5783191.3200000003</v>
      </c>
    </row>
    <row r="39" spans="1:47" x14ac:dyDescent="0.25">
      <c r="A39" s="261">
        <v>36</v>
      </c>
      <c r="B39" s="5">
        <v>390190</v>
      </c>
      <c r="C39" s="238" t="s">
        <v>45</v>
      </c>
      <c r="D39" s="507">
        <v>81702919.887023076</v>
      </c>
      <c r="E39" s="263">
        <v>0</v>
      </c>
      <c r="F39" s="264">
        <v>47386</v>
      </c>
      <c r="G39" s="267">
        <f t="shared" si="8"/>
        <v>59820069.605139315</v>
      </c>
      <c r="H39" s="264">
        <v>49927</v>
      </c>
      <c r="I39" s="267">
        <v>12455672.281883769</v>
      </c>
      <c r="J39" s="264">
        <v>13552</v>
      </c>
      <c r="K39" s="262">
        <v>9427178</v>
      </c>
      <c r="L39" s="265"/>
      <c r="M39" s="266"/>
      <c r="N39" s="264"/>
      <c r="O39" s="262"/>
      <c r="P39" s="267">
        <v>0</v>
      </c>
      <c r="Q39" s="265"/>
      <c r="R39" s="266"/>
      <c r="S39" s="264"/>
      <c r="T39" s="262"/>
      <c r="U39" s="508">
        <v>9001</v>
      </c>
      <c r="V39" s="509">
        <v>26587314.204553571</v>
      </c>
      <c r="W39" s="508">
        <v>9199</v>
      </c>
      <c r="X39" s="509">
        <v>11670408.449999999</v>
      </c>
      <c r="Y39" s="508">
        <v>2905</v>
      </c>
      <c r="Z39" s="509">
        <v>3149310.5</v>
      </c>
      <c r="AA39" s="508">
        <v>8181</v>
      </c>
      <c r="AB39" s="509">
        <v>16570135.102233369</v>
      </c>
      <c r="AC39" s="270">
        <v>0</v>
      </c>
      <c r="AD39" s="271">
        <v>0</v>
      </c>
      <c r="AE39" s="270">
        <v>0</v>
      </c>
      <c r="AF39" s="271">
        <v>0</v>
      </c>
      <c r="AG39" s="270">
        <v>0</v>
      </c>
      <c r="AH39" s="271">
        <v>0</v>
      </c>
      <c r="AI39" s="272">
        <f t="shared" si="10"/>
        <v>0</v>
      </c>
      <c r="AJ39" s="272">
        <f t="shared" si="0"/>
        <v>29286</v>
      </c>
      <c r="AK39" s="273">
        <f t="shared" si="5"/>
        <v>20087</v>
      </c>
      <c r="AL39" s="274">
        <f t="shared" si="5"/>
        <v>46306759.80678694</v>
      </c>
      <c r="AM39" s="275">
        <f t="shared" si="1"/>
        <v>57977168.256786942</v>
      </c>
      <c r="AN39" s="276">
        <f t="shared" si="6"/>
        <v>139680088.14381003</v>
      </c>
      <c r="AO39" s="277">
        <f t="shared" si="2"/>
        <v>57977168.256786942</v>
      </c>
      <c r="AP39" s="331"/>
      <c r="AQ39" s="278">
        <f t="shared" si="9"/>
        <v>139680088.14381003</v>
      </c>
      <c r="AR39" s="331">
        <f>IFERROR((VLOOKUP(B39,'АПП Баз'!$B$8:$Y$72,24,FALSE)*1000),0)</f>
        <v>160439252.00999999</v>
      </c>
      <c r="AS39" s="334">
        <f t="shared" si="3"/>
        <v>-20759163.866189957</v>
      </c>
      <c r="AU39" s="444">
        <v>3526689.11</v>
      </c>
    </row>
    <row r="40" spans="1:47" x14ac:dyDescent="0.25">
      <c r="A40" s="261">
        <v>37</v>
      </c>
      <c r="B40" s="5">
        <v>390280</v>
      </c>
      <c r="C40" s="238" t="s">
        <v>101</v>
      </c>
      <c r="D40" s="507">
        <v>109013312.78015383</v>
      </c>
      <c r="E40" s="263">
        <v>10590485.689999999</v>
      </c>
      <c r="F40" s="264">
        <v>56001</v>
      </c>
      <c r="G40" s="267">
        <f t="shared" si="8"/>
        <v>83095189.52397117</v>
      </c>
      <c r="H40" s="264">
        <v>58770</v>
      </c>
      <c r="I40" s="267">
        <v>25321486.946182653</v>
      </c>
      <c r="J40" s="264">
        <v>16082</v>
      </c>
      <c r="K40" s="262">
        <v>11187122</v>
      </c>
      <c r="L40" s="265"/>
      <c r="M40" s="266"/>
      <c r="N40" s="264"/>
      <c r="O40" s="262"/>
      <c r="P40" s="267">
        <v>0</v>
      </c>
      <c r="Q40" s="265"/>
      <c r="R40" s="266"/>
      <c r="S40" s="264"/>
      <c r="T40" s="262"/>
      <c r="U40" s="508">
        <v>10385</v>
      </c>
      <c r="V40" s="509">
        <v>30624703.818705358</v>
      </c>
      <c r="W40" s="508">
        <v>10617</v>
      </c>
      <c r="X40" s="509">
        <v>13468317.470000001</v>
      </c>
      <c r="Y40" s="508">
        <v>3227</v>
      </c>
      <c r="Z40" s="509">
        <v>3498390.7</v>
      </c>
      <c r="AA40" s="508">
        <v>10711</v>
      </c>
      <c r="AB40" s="509">
        <v>21971968.133045502</v>
      </c>
      <c r="AC40" s="270">
        <v>0</v>
      </c>
      <c r="AD40" s="271">
        <v>0</v>
      </c>
      <c r="AE40" s="270">
        <v>0</v>
      </c>
      <c r="AF40" s="271">
        <v>0</v>
      </c>
      <c r="AG40" s="270">
        <v>0</v>
      </c>
      <c r="AH40" s="271">
        <v>0</v>
      </c>
      <c r="AI40" s="272">
        <f t="shared" si="10"/>
        <v>0</v>
      </c>
      <c r="AJ40" s="272">
        <f t="shared" si="0"/>
        <v>34940</v>
      </c>
      <c r="AK40" s="273">
        <f t="shared" si="5"/>
        <v>24323</v>
      </c>
      <c r="AL40" s="274">
        <f t="shared" si="5"/>
        <v>56095062.651750863</v>
      </c>
      <c r="AM40" s="275">
        <f t="shared" si="1"/>
        <v>69563380.121750861</v>
      </c>
      <c r="AN40" s="276">
        <f t="shared" si="6"/>
        <v>189167178.5919047</v>
      </c>
      <c r="AO40" s="277">
        <f t="shared" si="2"/>
        <v>69563380.121750861</v>
      </c>
      <c r="AP40" s="331"/>
      <c r="AQ40" s="278">
        <f t="shared" si="9"/>
        <v>189167178.5919047</v>
      </c>
      <c r="AR40" s="331">
        <f>IFERROR((VLOOKUP(B40,'АПП Баз'!$B$8:$Y$72,24,FALSE)*1000),0)</f>
        <v>185806465.69</v>
      </c>
      <c r="AS40" s="334">
        <f t="shared" si="3"/>
        <v>3360712.9019047022</v>
      </c>
      <c r="AU40" s="444">
        <v>16164274.5</v>
      </c>
    </row>
    <row r="41" spans="1:47" x14ac:dyDescent="0.25">
      <c r="A41" s="261">
        <v>38</v>
      </c>
      <c r="B41" s="5">
        <v>390600</v>
      </c>
      <c r="C41" s="238" t="s">
        <v>118</v>
      </c>
      <c r="D41" s="507">
        <v>26552432.741912685</v>
      </c>
      <c r="E41" s="263">
        <v>0</v>
      </c>
      <c r="F41" s="264">
        <v>18667</v>
      </c>
      <c r="G41" s="267">
        <f t="shared" si="8"/>
        <v>19357412.472428203</v>
      </c>
      <c r="H41" s="264">
        <v>19549</v>
      </c>
      <c r="I41" s="267">
        <v>3453922.2694844827</v>
      </c>
      <c r="J41" s="264">
        <v>5378</v>
      </c>
      <c r="K41" s="262">
        <v>3741098</v>
      </c>
      <c r="L41" s="265"/>
      <c r="M41" s="266"/>
      <c r="N41" s="264"/>
      <c r="O41" s="262"/>
      <c r="P41" s="267">
        <v>43400</v>
      </c>
      <c r="Q41" s="265"/>
      <c r="R41" s="266"/>
      <c r="S41" s="264"/>
      <c r="T41" s="262"/>
      <c r="U41" s="508">
        <v>4274</v>
      </c>
      <c r="V41" s="509">
        <v>11371628.07</v>
      </c>
      <c r="W41" s="508">
        <v>4509</v>
      </c>
      <c r="X41" s="509">
        <v>5720466.4699999997</v>
      </c>
      <c r="Y41" s="508">
        <v>1925</v>
      </c>
      <c r="Z41" s="509">
        <v>2086892.5</v>
      </c>
      <c r="AA41" s="508">
        <v>1072</v>
      </c>
      <c r="AB41" s="509">
        <v>1382469.29</v>
      </c>
      <c r="AC41" s="270">
        <v>1062.3710000000001</v>
      </c>
      <c r="AD41" s="271">
        <v>423000</v>
      </c>
      <c r="AE41" s="270">
        <v>807.346</v>
      </c>
      <c r="AF41" s="271">
        <v>304000</v>
      </c>
      <c r="AG41" s="270">
        <v>246.90299999999999</v>
      </c>
      <c r="AH41" s="271">
        <v>8000</v>
      </c>
      <c r="AI41" s="272">
        <f t="shared" si="10"/>
        <v>1062.3710000000001</v>
      </c>
      <c r="AJ41" s="272">
        <f t="shared" si="0"/>
        <v>12834.249</v>
      </c>
      <c r="AK41" s="273">
        <f t="shared" si="5"/>
        <v>7271</v>
      </c>
      <c r="AL41" s="274">
        <f t="shared" si="5"/>
        <v>14840989.859999999</v>
      </c>
      <c r="AM41" s="275">
        <f t="shared" si="1"/>
        <v>21339856.329999998</v>
      </c>
      <c r="AN41" s="276">
        <f t="shared" si="6"/>
        <v>47892289.071912684</v>
      </c>
      <c r="AO41" s="277">
        <f t="shared" si="2"/>
        <v>21296456.329999998</v>
      </c>
      <c r="AP41" s="331"/>
      <c r="AQ41" s="278">
        <f t="shared" si="9"/>
        <v>47157289.071912684</v>
      </c>
      <c r="AR41" s="331">
        <f>IFERROR((VLOOKUP(B41,'АПП Баз'!$B$8:$Y$72,24,FALSE)*1000),0)</f>
        <v>28162435.48</v>
      </c>
      <c r="AS41" s="334">
        <f t="shared" si="3"/>
        <v>18994853.591912683</v>
      </c>
      <c r="AU41" s="444">
        <v>0</v>
      </c>
    </row>
    <row r="42" spans="1:47" x14ac:dyDescent="0.25">
      <c r="A42" s="261">
        <v>39</v>
      </c>
      <c r="B42" s="5">
        <v>390340</v>
      </c>
      <c r="C42" s="238" t="s">
        <v>119</v>
      </c>
      <c r="D42" s="507">
        <v>23549845.795206618</v>
      </c>
      <c r="E42" s="263">
        <v>0</v>
      </c>
      <c r="F42" s="264">
        <v>17231</v>
      </c>
      <c r="G42" s="267">
        <f t="shared" si="8"/>
        <v>16080277.802382261</v>
      </c>
      <c r="H42" s="264">
        <v>18045</v>
      </c>
      <c r="I42" s="267">
        <v>3952462.992824357</v>
      </c>
      <c r="J42" s="264">
        <v>5056</v>
      </c>
      <c r="K42" s="262">
        <v>3517105</v>
      </c>
      <c r="L42" s="265"/>
      <c r="M42" s="266"/>
      <c r="N42" s="264"/>
      <c r="O42" s="262"/>
      <c r="P42" s="267">
        <v>0</v>
      </c>
      <c r="Q42" s="265"/>
      <c r="R42" s="266"/>
      <c r="S42" s="264"/>
      <c r="T42" s="262"/>
      <c r="U42" s="508">
        <v>4102</v>
      </c>
      <c r="V42" s="509">
        <v>11897029.119999999</v>
      </c>
      <c r="W42" s="508">
        <v>4239</v>
      </c>
      <c r="X42" s="509">
        <v>5378147.9699999997</v>
      </c>
      <c r="Y42" s="508">
        <v>1248</v>
      </c>
      <c r="Z42" s="509">
        <v>1352956.8</v>
      </c>
      <c r="AA42" s="508">
        <v>983</v>
      </c>
      <c r="AB42" s="509">
        <v>1359640.55</v>
      </c>
      <c r="AC42" s="270">
        <v>3189.3049999999998</v>
      </c>
      <c r="AD42" s="271">
        <v>1266000</v>
      </c>
      <c r="AE42" s="270">
        <v>2416.3130000000001</v>
      </c>
      <c r="AF42" s="271">
        <v>868000</v>
      </c>
      <c r="AG42" s="270">
        <v>704.97199999999998</v>
      </c>
      <c r="AH42" s="271">
        <v>67000</v>
      </c>
      <c r="AI42" s="272">
        <f t="shared" si="10"/>
        <v>3189.3049999999998</v>
      </c>
      <c r="AJ42" s="272">
        <f t="shared" si="0"/>
        <v>13693.285</v>
      </c>
      <c r="AK42" s="273">
        <f t="shared" si="5"/>
        <v>6333</v>
      </c>
      <c r="AL42" s="274">
        <f t="shared" si="5"/>
        <v>14609626.470000001</v>
      </c>
      <c r="AM42" s="275">
        <f t="shared" si="1"/>
        <v>22188774.440000001</v>
      </c>
      <c r="AN42" s="276">
        <f t="shared" si="6"/>
        <v>45738620.235206619</v>
      </c>
      <c r="AO42" s="277">
        <f t="shared" si="2"/>
        <v>22188774.440000001</v>
      </c>
      <c r="AP42" s="331"/>
      <c r="AQ42" s="278">
        <f t="shared" si="9"/>
        <v>43537620.235206619</v>
      </c>
      <c r="AR42" s="331">
        <f>IFERROR((VLOOKUP(B42,'АПП Баз'!$B$8:$Y$72,24,FALSE)*1000),0)</f>
        <v>61791300.680000007</v>
      </c>
      <c r="AS42" s="334">
        <f t="shared" si="3"/>
        <v>-18253680.444793388</v>
      </c>
      <c r="AU42" s="444">
        <v>0</v>
      </c>
    </row>
    <row r="43" spans="1:47" ht="15" customHeight="1" x14ac:dyDescent="0.25">
      <c r="A43" s="261">
        <v>40</v>
      </c>
      <c r="B43" s="5">
        <v>391000</v>
      </c>
      <c r="C43" s="6" t="s">
        <v>182</v>
      </c>
      <c r="D43" s="262"/>
      <c r="E43" s="263"/>
      <c r="F43" s="264"/>
      <c r="G43" s="262"/>
      <c r="H43" s="264"/>
      <c r="I43" s="262"/>
      <c r="J43" s="264"/>
      <c r="K43" s="262"/>
      <c r="L43" s="265">
        <v>0</v>
      </c>
      <c r="M43" s="266">
        <v>0</v>
      </c>
      <c r="N43" s="264"/>
      <c r="O43" s="262"/>
      <c r="P43" s="267">
        <v>0</v>
      </c>
      <c r="Q43" s="265"/>
      <c r="R43" s="266"/>
      <c r="S43" s="264"/>
      <c r="T43" s="262"/>
      <c r="U43" s="268">
        <v>0</v>
      </c>
      <c r="V43" s="269">
        <v>0</v>
      </c>
      <c r="W43" s="268">
        <v>0</v>
      </c>
      <c r="X43" s="269">
        <v>0</v>
      </c>
      <c r="Y43" s="268">
        <v>0</v>
      </c>
      <c r="Z43" s="269">
        <v>0</v>
      </c>
      <c r="AA43" s="268">
        <v>0</v>
      </c>
      <c r="AB43" s="269">
        <v>0</v>
      </c>
      <c r="AC43" s="270">
        <v>124618.829</v>
      </c>
      <c r="AD43" s="271">
        <v>49004000</v>
      </c>
      <c r="AE43" s="270">
        <v>93530.013999999996</v>
      </c>
      <c r="AF43" s="271">
        <v>34682000</v>
      </c>
      <c r="AG43" s="270">
        <v>28168.026999999998</v>
      </c>
      <c r="AH43" s="271">
        <v>2877000</v>
      </c>
      <c r="AI43" s="272">
        <f t="shared" si="10"/>
        <v>124618.829</v>
      </c>
      <c r="AJ43" s="272">
        <f t="shared" si="0"/>
        <v>121698.041</v>
      </c>
      <c r="AK43" s="273">
        <f t="shared" si="5"/>
        <v>0</v>
      </c>
      <c r="AL43" s="274">
        <f t="shared" si="5"/>
        <v>0</v>
      </c>
      <c r="AM43" s="275">
        <f t="shared" si="1"/>
        <v>86563000</v>
      </c>
      <c r="AN43" s="276">
        <f t="shared" si="6"/>
        <v>86563000</v>
      </c>
      <c r="AO43" s="277">
        <f t="shared" si="2"/>
        <v>86563000</v>
      </c>
      <c r="AP43" s="331"/>
      <c r="AQ43" s="278">
        <f t="shared" si="7"/>
        <v>0</v>
      </c>
      <c r="AR43" s="331">
        <f>IFERROR((VLOOKUP(B43,'АПП Баз'!$B$8:$Y$72,24,FALSE)*1000),0)</f>
        <v>214474.72</v>
      </c>
      <c r="AS43" s="334">
        <f t="shared" ref="AS43:AS68" si="11">AQ43-AR43</f>
        <v>-214474.72</v>
      </c>
    </row>
    <row r="44" spans="1:47" ht="15" customHeight="1" x14ac:dyDescent="0.25">
      <c r="A44" s="261">
        <v>41</v>
      </c>
      <c r="B44" s="5">
        <v>390910</v>
      </c>
      <c r="C44" s="6" t="s">
        <v>145</v>
      </c>
      <c r="D44" s="262"/>
      <c r="E44" s="263"/>
      <c r="F44" s="264"/>
      <c r="G44" s="262"/>
      <c r="H44" s="264"/>
      <c r="I44" s="262"/>
      <c r="J44" s="264"/>
      <c r="K44" s="262"/>
      <c r="L44" s="265">
        <v>0</v>
      </c>
      <c r="M44" s="266">
        <v>0</v>
      </c>
      <c r="N44" s="264"/>
      <c r="O44" s="262"/>
      <c r="P44" s="267">
        <v>0</v>
      </c>
      <c r="Q44" s="265"/>
      <c r="R44" s="266"/>
      <c r="S44" s="264"/>
      <c r="T44" s="262"/>
      <c r="U44" s="268">
        <v>0</v>
      </c>
      <c r="V44" s="269">
        <v>0</v>
      </c>
      <c r="W44" s="268">
        <v>0</v>
      </c>
      <c r="X44" s="269">
        <v>0</v>
      </c>
      <c r="Y44" s="268">
        <v>0</v>
      </c>
      <c r="Z44" s="269">
        <v>0</v>
      </c>
      <c r="AA44" s="268">
        <v>0</v>
      </c>
      <c r="AB44" s="269">
        <v>0</v>
      </c>
      <c r="AC44" s="270">
        <v>155054.59100000001</v>
      </c>
      <c r="AD44" s="271">
        <v>61146000</v>
      </c>
      <c r="AE44" s="270">
        <v>116704.47900000001</v>
      </c>
      <c r="AF44" s="271">
        <v>43875000</v>
      </c>
      <c r="AG44" s="270">
        <v>35634.398000000001</v>
      </c>
      <c r="AH44" s="271">
        <v>2675000</v>
      </c>
      <c r="AI44" s="272">
        <f t="shared" si="10"/>
        <v>155054.59100000001</v>
      </c>
      <c r="AJ44" s="272">
        <f t="shared" si="0"/>
        <v>152338.87700000001</v>
      </c>
      <c r="AK44" s="273">
        <f t="shared" si="5"/>
        <v>0</v>
      </c>
      <c r="AL44" s="274">
        <f t="shared" si="5"/>
        <v>0</v>
      </c>
      <c r="AM44" s="275">
        <f t="shared" si="1"/>
        <v>107696000</v>
      </c>
      <c r="AN44" s="276">
        <f t="shared" si="6"/>
        <v>107696000</v>
      </c>
      <c r="AO44" s="277">
        <f t="shared" si="2"/>
        <v>107696000</v>
      </c>
      <c r="AP44" s="331"/>
      <c r="AQ44" s="278">
        <f t="shared" si="7"/>
        <v>0</v>
      </c>
      <c r="AR44" s="331">
        <f>IFERROR((VLOOKUP(B44,'АПП Баз'!$B$8:$Y$72,24,FALSE)*1000),0)</f>
        <v>0</v>
      </c>
      <c r="AS44" s="334">
        <f t="shared" si="11"/>
        <v>0</v>
      </c>
    </row>
    <row r="45" spans="1:47" ht="15" customHeight="1" x14ac:dyDescent="0.25">
      <c r="A45" s="261">
        <v>42</v>
      </c>
      <c r="B45" s="5">
        <v>391020</v>
      </c>
      <c r="C45" s="6" t="s">
        <v>144</v>
      </c>
      <c r="D45" s="262"/>
      <c r="E45" s="263"/>
      <c r="F45" s="264"/>
      <c r="G45" s="262"/>
      <c r="H45" s="264"/>
      <c r="I45" s="262"/>
      <c r="J45" s="264"/>
      <c r="K45" s="262"/>
      <c r="L45" s="265">
        <v>0</v>
      </c>
      <c r="M45" s="266">
        <v>0</v>
      </c>
      <c r="N45" s="264"/>
      <c r="O45" s="262"/>
      <c r="P45" s="267">
        <v>0</v>
      </c>
      <c r="Q45" s="265"/>
      <c r="R45" s="266"/>
      <c r="S45" s="264"/>
      <c r="T45" s="262"/>
      <c r="U45" s="268">
        <v>0</v>
      </c>
      <c r="V45" s="269">
        <v>0</v>
      </c>
      <c r="W45" s="268">
        <v>0</v>
      </c>
      <c r="X45" s="269">
        <v>0</v>
      </c>
      <c r="Y45" s="268">
        <v>0</v>
      </c>
      <c r="Z45" s="269">
        <v>0</v>
      </c>
      <c r="AA45" s="268">
        <v>0</v>
      </c>
      <c r="AB45" s="269">
        <v>0</v>
      </c>
      <c r="AC45" s="270">
        <v>103399.519</v>
      </c>
      <c r="AD45" s="271">
        <v>40365000</v>
      </c>
      <c r="AE45" s="270">
        <v>77041.445999999996</v>
      </c>
      <c r="AF45" s="271">
        <v>29836000</v>
      </c>
      <c r="AG45" s="270">
        <v>24232.202000000001</v>
      </c>
      <c r="AH45" s="271">
        <v>2094000</v>
      </c>
      <c r="AI45" s="272">
        <f t="shared" si="10"/>
        <v>103399.519</v>
      </c>
      <c r="AJ45" s="272">
        <f t="shared" si="0"/>
        <v>101273.648</v>
      </c>
      <c r="AK45" s="273">
        <f t="shared" si="5"/>
        <v>0</v>
      </c>
      <c r="AL45" s="274">
        <f t="shared" si="5"/>
        <v>0</v>
      </c>
      <c r="AM45" s="275">
        <f t="shared" si="1"/>
        <v>72295000</v>
      </c>
      <c r="AN45" s="276">
        <f t="shared" si="6"/>
        <v>72295000</v>
      </c>
      <c r="AO45" s="277">
        <f t="shared" si="2"/>
        <v>72295000</v>
      </c>
      <c r="AP45" s="331"/>
      <c r="AQ45" s="278">
        <f t="shared" si="7"/>
        <v>0</v>
      </c>
      <c r="AR45" s="331">
        <f>IFERROR((VLOOKUP(B45,'АПП Баз'!$B$8:$Y$72,24,FALSE)*1000),0)</f>
        <v>0</v>
      </c>
      <c r="AS45" s="334">
        <f t="shared" si="11"/>
        <v>0</v>
      </c>
    </row>
    <row r="46" spans="1:47" ht="15" customHeight="1" x14ac:dyDescent="0.25">
      <c r="A46" s="261">
        <v>43</v>
      </c>
      <c r="B46" s="5">
        <v>391110</v>
      </c>
      <c r="C46" s="6" t="s">
        <v>143</v>
      </c>
      <c r="D46" s="262"/>
      <c r="E46" s="263"/>
      <c r="F46" s="264"/>
      <c r="G46" s="262"/>
      <c r="H46" s="264"/>
      <c r="I46" s="262"/>
      <c r="J46" s="264"/>
      <c r="K46" s="262"/>
      <c r="L46" s="265">
        <v>0</v>
      </c>
      <c r="M46" s="266">
        <v>0</v>
      </c>
      <c r="N46" s="264"/>
      <c r="O46" s="262"/>
      <c r="P46" s="267">
        <v>0</v>
      </c>
      <c r="Q46" s="265"/>
      <c r="R46" s="266"/>
      <c r="S46" s="264"/>
      <c r="T46" s="262"/>
      <c r="U46" s="268">
        <v>0</v>
      </c>
      <c r="V46" s="269">
        <v>0</v>
      </c>
      <c r="W46" s="268">
        <v>0</v>
      </c>
      <c r="X46" s="269">
        <v>0</v>
      </c>
      <c r="Y46" s="268">
        <v>0</v>
      </c>
      <c r="Z46" s="269">
        <v>0</v>
      </c>
      <c r="AA46" s="268">
        <v>0</v>
      </c>
      <c r="AB46" s="269">
        <v>0</v>
      </c>
      <c r="AC46" s="270">
        <v>42256.817000000003</v>
      </c>
      <c r="AD46" s="271">
        <v>16762000</v>
      </c>
      <c r="AE46" s="270">
        <v>31992.288</v>
      </c>
      <c r="AF46" s="271">
        <v>11477000</v>
      </c>
      <c r="AG46" s="270">
        <v>9321.39</v>
      </c>
      <c r="AH46" s="271">
        <v>929000</v>
      </c>
      <c r="AI46" s="272">
        <f t="shared" si="10"/>
        <v>42256.817000000003</v>
      </c>
      <c r="AJ46" s="272">
        <f t="shared" si="0"/>
        <v>41313.678</v>
      </c>
      <c r="AK46" s="273">
        <f t="shared" si="5"/>
        <v>0</v>
      </c>
      <c r="AL46" s="274">
        <f t="shared" si="5"/>
        <v>0</v>
      </c>
      <c r="AM46" s="275">
        <f t="shared" si="1"/>
        <v>29168000</v>
      </c>
      <c r="AN46" s="276">
        <f t="shared" si="6"/>
        <v>29168000</v>
      </c>
      <c r="AO46" s="277">
        <f t="shared" si="2"/>
        <v>29168000</v>
      </c>
      <c r="AP46" s="331"/>
      <c r="AQ46" s="278">
        <f t="shared" si="7"/>
        <v>0</v>
      </c>
      <c r="AR46" s="331">
        <f>IFERROR((VLOOKUP(B46,'АПП Баз'!$B$8:$Y$72,24,FALSE)*1000),0)</f>
        <v>0</v>
      </c>
      <c r="AS46" s="334">
        <f t="shared" si="11"/>
        <v>0</v>
      </c>
    </row>
    <row r="47" spans="1:47" ht="15" customHeight="1" x14ac:dyDescent="0.25">
      <c r="A47" s="261">
        <v>44</v>
      </c>
      <c r="B47" s="5">
        <v>390286</v>
      </c>
      <c r="C47" s="6" t="s">
        <v>142</v>
      </c>
      <c r="D47" s="262"/>
      <c r="E47" s="263"/>
      <c r="F47" s="264"/>
      <c r="G47" s="262"/>
      <c r="H47" s="264"/>
      <c r="I47" s="262"/>
      <c r="J47" s="264"/>
      <c r="K47" s="262"/>
      <c r="L47" s="265">
        <v>0</v>
      </c>
      <c r="M47" s="266">
        <v>0</v>
      </c>
      <c r="N47" s="264"/>
      <c r="O47" s="262"/>
      <c r="P47" s="267">
        <v>0</v>
      </c>
      <c r="Q47" s="265"/>
      <c r="R47" s="266"/>
      <c r="S47" s="264"/>
      <c r="T47" s="262"/>
      <c r="U47" s="268">
        <v>0</v>
      </c>
      <c r="V47" s="269">
        <v>0</v>
      </c>
      <c r="W47" s="268">
        <v>0</v>
      </c>
      <c r="X47" s="269">
        <v>0</v>
      </c>
      <c r="Y47" s="268">
        <v>0</v>
      </c>
      <c r="Z47" s="269">
        <v>0</v>
      </c>
      <c r="AA47" s="268">
        <v>0</v>
      </c>
      <c r="AB47" s="269">
        <v>0</v>
      </c>
      <c r="AC47" s="270">
        <v>35217.055</v>
      </c>
      <c r="AD47" s="271">
        <v>13612000</v>
      </c>
      <c r="AE47" s="270">
        <v>25980.134999999998</v>
      </c>
      <c r="AF47" s="271">
        <v>10438000</v>
      </c>
      <c r="AG47" s="270">
        <v>8477.5349999999999</v>
      </c>
      <c r="AH47" s="271">
        <v>748000</v>
      </c>
      <c r="AI47" s="272">
        <f t="shared" si="10"/>
        <v>35217.055</v>
      </c>
      <c r="AJ47" s="272">
        <f t="shared" si="0"/>
        <v>34457.67</v>
      </c>
      <c r="AK47" s="273">
        <f t="shared" si="5"/>
        <v>0</v>
      </c>
      <c r="AL47" s="274">
        <f t="shared" si="5"/>
        <v>0</v>
      </c>
      <c r="AM47" s="275">
        <f t="shared" si="1"/>
        <v>24798000</v>
      </c>
      <c r="AN47" s="276">
        <f t="shared" si="6"/>
        <v>24798000</v>
      </c>
      <c r="AO47" s="277">
        <f t="shared" si="2"/>
        <v>24798000</v>
      </c>
      <c r="AP47" s="331"/>
      <c r="AQ47" s="278">
        <f t="shared" si="7"/>
        <v>0</v>
      </c>
      <c r="AR47" s="331">
        <f>IFERROR((VLOOKUP(B47,'АПП Баз'!$B$8:$Y$72,24,FALSE)*1000),0)</f>
        <v>0</v>
      </c>
      <c r="AS47" s="334">
        <f t="shared" si="11"/>
        <v>0</v>
      </c>
    </row>
    <row r="48" spans="1:47" ht="15" customHeight="1" x14ac:dyDescent="0.25">
      <c r="A48" s="261">
        <v>45</v>
      </c>
      <c r="B48" s="5">
        <v>392240</v>
      </c>
      <c r="C48" s="6" t="s">
        <v>141</v>
      </c>
      <c r="D48" s="262"/>
      <c r="E48" s="263"/>
      <c r="F48" s="264"/>
      <c r="G48" s="262"/>
      <c r="H48" s="264"/>
      <c r="I48" s="262"/>
      <c r="J48" s="264"/>
      <c r="K48" s="262"/>
      <c r="L48" s="265">
        <v>0</v>
      </c>
      <c r="M48" s="266">
        <v>0</v>
      </c>
      <c r="N48" s="264"/>
      <c r="O48" s="262"/>
      <c r="P48" s="267">
        <v>0</v>
      </c>
      <c r="Q48" s="265"/>
      <c r="R48" s="266"/>
      <c r="S48" s="264"/>
      <c r="T48" s="262"/>
      <c r="U48" s="268">
        <v>0</v>
      </c>
      <c r="V48" s="269">
        <v>0</v>
      </c>
      <c r="W48" s="268">
        <v>0</v>
      </c>
      <c r="X48" s="269">
        <v>0</v>
      </c>
      <c r="Y48" s="268">
        <v>0</v>
      </c>
      <c r="Z48" s="269">
        <v>0</v>
      </c>
      <c r="AA48" s="268">
        <v>0</v>
      </c>
      <c r="AB48" s="269">
        <v>0</v>
      </c>
      <c r="AC48" s="270">
        <v>2391.7849999999999</v>
      </c>
      <c r="AD48" s="271">
        <v>949000</v>
      </c>
      <c r="AE48" s="270">
        <v>1811.28</v>
      </c>
      <c r="AF48" s="271">
        <v>651000</v>
      </c>
      <c r="AG48" s="270">
        <v>528.72900000000004</v>
      </c>
      <c r="AH48" s="271">
        <v>51000</v>
      </c>
      <c r="AI48" s="272">
        <f t="shared" si="10"/>
        <v>2391.7849999999999</v>
      </c>
      <c r="AJ48" s="272">
        <f t="shared" si="0"/>
        <v>2340.009</v>
      </c>
      <c r="AK48" s="273">
        <f t="shared" si="5"/>
        <v>0</v>
      </c>
      <c r="AL48" s="274">
        <f t="shared" si="5"/>
        <v>0</v>
      </c>
      <c r="AM48" s="275">
        <f t="shared" si="1"/>
        <v>1651000</v>
      </c>
      <c r="AN48" s="276">
        <f t="shared" si="6"/>
        <v>1651000</v>
      </c>
      <c r="AO48" s="277">
        <f t="shared" si="2"/>
        <v>1651000</v>
      </c>
      <c r="AP48" s="331"/>
      <c r="AQ48" s="278">
        <f t="shared" si="7"/>
        <v>0</v>
      </c>
      <c r="AR48" s="331">
        <f>IFERROR((VLOOKUP(B48,'АПП Баз'!$B$8:$Y$72,24,FALSE)*1000),0)</f>
        <v>0</v>
      </c>
      <c r="AS48" s="334">
        <f t="shared" si="11"/>
        <v>0</v>
      </c>
    </row>
    <row r="49" spans="1:47" ht="15" customHeight="1" x14ac:dyDescent="0.25">
      <c r="A49" s="261">
        <v>46</v>
      </c>
      <c r="B49" s="5">
        <v>391090</v>
      </c>
      <c r="C49" s="6" t="s">
        <v>140</v>
      </c>
      <c r="D49" s="262"/>
      <c r="E49" s="263"/>
      <c r="F49" s="264"/>
      <c r="G49" s="262"/>
      <c r="H49" s="264"/>
      <c r="I49" s="262"/>
      <c r="J49" s="264"/>
      <c r="K49" s="262"/>
      <c r="L49" s="265">
        <v>0</v>
      </c>
      <c r="M49" s="266">
        <v>0</v>
      </c>
      <c r="N49" s="264"/>
      <c r="O49" s="262"/>
      <c r="P49" s="267">
        <v>0</v>
      </c>
      <c r="Q49" s="265"/>
      <c r="R49" s="266"/>
      <c r="S49" s="264"/>
      <c r="T49" s="262"/>
      <c r="U49" s="268">
        <v>0</v>
      </c>
      <c r="V49" s="269">
        <v>0</v>
      </c>
      <c r="W49" s="268">
        <v>0</v>
      </c>
      <c r="X49" s="269">
        <v>0</v>
      </c>
      <c r="Y49" s="268">
        <v>0</v>
      </c>
      <c r="Z49" s="269">
        <v>0</v>
      </c>
      <c r="AA49" s="268">
        <v>0</v>
      </c>
      <c r="AB49" s="269">
        <v>0</v>
      </c>
      <c r="AC49" s="270">
        <v>76950.542000000001</v>
      </c>
      <c r="AD49" s="271">
        <v>31078000</v>
      </c>
      <c r="AE49" s="270">
        <v>59316.091999999997</v>
      </c>
      <c r="AF49" s="271">
        <v>19635000</v>
      </c>
      <c r="AG49" s="270">
        <v>15947.154</v>
      </c>
      <c r="AH49" s="271">
        <v>1662000</v>
      </c>
      <c r="AI49" s="272">
        <f t="shared" si="10"/>
        <v>76950.542000000001</v>
      </c>
      <c r="AJ49" s="272">
        <f t="shared" si="0"/>
        <v>75263.245999999999</v>
      </c>
      <c r="AK49" s="273">
        <f t="shared" si="5"/>
        <v>0</v>
      </c>
      <c r="AL49" s="274">
        <f t="shared" si="5"/>
        <v>0</v>
      </c>
      <c r="AM49" s="275">
        <f t="shared" si="1"/>
        <v>52375000</v>
      </c>
      <c r="AN49" s="276">
        <f t="shared" si="6"/>
        <v>52375000</v>
      </c>
      <c r="AO49" s="277">
        <f t="shared" si="2"/>
        <v>52375000</v>
      </c>
      <c r="AP49" s="331"/>
      <c r="AQ49" s="278">
        <f t="shared" si="7"/>
        <v>0</v>
      </c>
      <c r="AR49" s="331">
        <f>IFERROR((VLOOKUP(B49,'АПП Баз'!$B$8:$Y$72,24,FALSE)*1000),0)</f>
        <v>0</v>
      </c>
      <c r="AS49" s="334">
        <f t="shared" si="11"/>
        <v>0</v>
      </c>
    </row>
    <row r="50" spans="1:47" ht="15" customHeight="1" x14ac:dyDescent="0.25">
      <c r="A50" s="261">
        <v>47</v>
      </c>
      <c r="B50" s="5">
        <v>391200</v>
      </c>
      <c r="C50" s="6" t="s">
        <v>139</v>
      </c>
      <c r="D50" s="262"/>
      <c r="E50" s="263"/>
      <c r="F50" s="264"/>
      <c r="G50" s="262"/>
      <c r="H50" s="264"/>
      <c r="I50" s="262"/>
      <c r="J50" s="264"/>
      <c r="K50" s="262"/>
      <c r="L50" s="265">
        <v>0</v>
      </c>
      <c r="M50" s="266">
        <v>0</v>
      </c>
      <c r="N50" s="264"/>
      <c r="O50" s="262"/>
      <c r="P50" s="267">
        <v>0</v>
      </c>
      <c r="Q50" s="265"/>
      <c r="R50" s="266"/>
      <c r="S50" s="264"/>
      <c r="T50" s="262"/>
      <c r="U50" s="268">
        <v>0</v>
      </c>
      <c r="V50" s="269">
        <v>0</v>
      </c>
      <c r="W50" s="268">
        <v>0</v>
      </c>
      <c r="X50" s="269">
        <v>0</v>
      </c>
      <c r="Y50" s="268">
        <v>0</v>
      </c>
      <c r="Z50" s="269">
        <v>0</v>
      </c>
      <c r="AA50" s="268">
        <v>0</v>
      </c>
      <c r="AB50" s="269">
        <v>0</v>
      </c>
      <c r="AC50" s="270">
        <v>13567.124</v>
      </c>
      <c r="AD50" s="271">
        <v>5406000</v>
      </c>
      <c r="AE50" s="270">
        <v>10318</v>
      </c>
      <c r="AF50" s="271">
        <v>3623000</v>
      </c>
      <c r="AG50" s="270">
        <v>2942.5279999999998</v>
      </c>
      <c r="AH50" s="271">
        <v>302000</v>
      </c>
      <c r="AI50" s="272">
        <f t="shared" si="10"/>
        <v>13567.124</v>
      </c>
      <c r="AJ50" s="272">
        <f t="shared" si="0"/>
        <v>13260.528</v>
      </c>
      <c r="AK50" s="273">
        <f t="shared" si="5"/>
        <v>0</v>
      </c>
      <c r="AL50" s="274">
        <f t="shared" si="5"/>
        <v>0</v>
      </c>
      <c r="AM50" s="275">
        <f t="shared" si="1"/>
        <v>9331000</v>
      </c>
      <c r="AN50" s="276">
        <f t="shared" si="6"/>
        <v>9331000</v>
      </c>
      <c r="AO50" s="277">
        <f t="shared" si="2"/>
        <v>9331000</v>
      </c>
      <c r="AP50" s="331"/>
      <c r="AQ50" s="278">
        <f t="shared" si="7"/>
        <v>0</v>
      </c>
      <c r="AR50" s="331">
        <f>IFERROR((VLOOKUP(B50,'АПП Баз'!$B$8:$Y$72,24,FALSE)*1000),0)</f>
        <v>0</v>
      </c>
      <c r="AS50" s="334">
        <f t="shared" si="11"/>
        <v>0</v>
      </c>
    </row>
    <row r="51" spans="1:47" ht="15" customHeight="1" x14ac:dyDescent="0.25">
      <c r="A51" s="261">
        <v>48</v>
      </c>
      <c r="B51" s="5">
        <v>391350</v>
      </c>
      <c r="C51" s="6" t="s">
        <v>138</v>
      </c>
      <c r="D51" s="262"/>
      <c r="E51" s="263"/>
      <c r="F51" s="264"/>
      <c r="G51" s="262"/>
      <c r="H51" s="264"/>
      <c r="I51" s="262"/>
      <c r="J51" s="264"/>
      <c r="K51" s="262"/>
      <c r="L51" s="265">
        <v>0</v>
      </c>
      <c r="M51" s="266">
        <v>0</v>
      </c>
      <c r="N51" s="264"/>
      <c r="O51" s="262"/>
      <c r="P51" s="267">
        <v>0</v>
      </c>
      <c r="Q51" s="265"/>
      <c r="R51" s="266"/>
      <c r="S51" s="264"/>
      <c r="T51" s="262"/>
      <c r="U51" s="268">
        <v>0</v>
      </c>
      <c r="V51" s="269">
        <v>0</v>
      </c>
      <c r="W51" s="268">
        <v>0</v>
      </c>
      <c r="X51" s="269">
        <v>0</v>
      </c>
      <c r="Y51" s="268">
        <v>0</v>
      </c>
      <c r="Z51" s="269">
        <v>0</v>
      </c>
      <c r="AA51" s="268">
        <v>0</v>
      </c>
      <c r="AB51" s="269">
        <v>0</v>
      </c>
      <c r="AC51" s="270">
        <v>10886.04</v>
      </c>
      <c r="AD51" s="271">
        <v>4590000</v>
      </c>
      <c r="AE51" s="270">
        <v>8760.5660000000007</v>
      </c>
      <c r="AF51" s="271">
        <v>2387000</v>
      </c>
      <c r="AG51" s="270">
        <v>1938.674</v>
      </c>
      <c r="AH51" s="271">
        <v>184000</v>
      </c>
      <c r="AI51" s="272">
        <f t="shared" si="10"/>
        <v>10886.04</v>
      </c>
      <c r="AJ51" s="272">
        <f t="shared" si="0"/>
        <v>10699.240000000002</v>
      </c>
      <c r="AK51" s="273">
        <f t="shared" si="5"/>
        <v>0</v>
      </c>
      <c r="AL51" s="274">
        <f t="shared" si="5"/>
        <v>0</v>
      </c>
      <c r="AM51" s="275">
        <f t="shared" si="1"/>
        <v>7161000</v>
      </c>
      <c r="AN51" s="276">
        <f t="shared" si="6"/>
        <v>7161000</v>
      </c>
      <c r="AO51" s="277">
        <f t="shared" si="2"/>
        <v>7161000</v>
      </c>
      <c r="AP51" s="331"/>
      <c r="AQ51" s="278">
        <f t="shared" si="7"/>
        <v>0</v>
      </c>
      <c r="AR51" s="331">
        <f>IFERROR((VLOOKUP(B51,'АПП Баз'!$B$8:$Y$72,24,FALSE)*1000),0)</f>
        <v>0</v>
      </c>
      <c r="AS51" s="334">
        <f t="shared" si="11"/>
        <v>0</v>
      </c>
    </row>
    <row r="52" spans="1:47" ht="15" customHeight="1" x14ac:dyDescent="0.25">
      <c r="A52" s="261">
        <v>49</v>
      </c>
      <c r="B52" s="5">
        <v>391640</v>
      </c>
      <c r="C52" s="6" t="s">
        <v>137</v>
      </c>
      <c r="D52" s="262"/>
      <c r="E52" s="263"/>
      <c r="F52" s="264"/>
      <c r="G52" s="262"/>
      <c r="H52" s="264"/>
      <c r="I52" s="262"/>
      <c r="J52" s="264"/>
      <c r="K52" s="262"/>
      <c r="L52" s="265">
        <v>0</v>
      </c>
      <c r="M52" s="266">
        <v>0</v>
      </c>
      <c r="N52" s="264"/>
      <c r="O52" s="262"/>
      <c r="P52" s="267">
        <v>0</v>
      </c>
      <c r="Q52" s="265"/>
      <c r="R52" s="266"/>
      <c r="S52" s="264"/>
      <c r="T52" s="262"/>
      <c r="U52" s="268">
        <v>0</v>
      </c>
      <c r="V52" s="269">
        <v>0</v>
      </c>
      <c r="W52" s="268">
        <v>0</v>
      </c>
      <c r="X52" s="269">
        <v>0</v>
      </c>
      <c r="Y52" s="268">
        <v>0</v>
      </c>
      <c r="Z52" s="269">
        <v>0</v>
      </c>
      <c r="AA52" s="268">
        <v>0</v>
      </c>
      <c r="AB52" s="269">
        <v>0</v>
      </c>
      <c r="AC52" s="270">
        <v>14408.540999999999</v>
      </c>
      <c r="AD52" s="271">
        <v>6131000</v>
      </c>
      <c r="AE52" s="270">
        <v>11701.749</v>
      </c>
      <c r="AF52" s="271">
        <v>3039000</v>
      </c>
      <c r="AG52" s="270">
        <v>2468.2150000000001</v>
      </c>
      <c r="AH52" s="271">
        <v>235000</v>
      </c>
      <c r="AI52" s="272">
        <f t="shared" si="10"/>
        <v>14408.540999999999</v>
      </c>
      <c r="AJ52" s="272">
        <f t="shared" si="0"/>
        <v>14169.964</v>
      </c>
      <c r="AK52" s="273">
        <f t="shared" si="5"/>
        <v>0</v>
      </c>
      <c r="AL52" s="274">
        <f t="shared" si="5"/>
        <v>0</v>
      </c>
      <c r="AM52" s="275">
        <f t="shared" si="1"/>
        <v>9405000</v>
      </c>
      <c r="AN52" s="276">
        <f t="shared" si="6"/>
        <v>9405000</v>
      </c>
      <c r="AO52" s="277">
        <f t="shared" si="2"/>
        <v>9405000</v>
      </c>
      <c r="AP52" s="331"/>
      <c r="AQ52" s="278">
        <f t="shared" si="7"/>
        <v>0</v>
      </c>
      <c r="AR52" s="331">
        <f>IFERROR((VLOOKUP(B52,'АПП Баз'!$B$8:$Y$72,24,FALSE)*1000),0)</f>
        <v>0</v>
      </c>
      <c r="AS52" s="334">
        <f t="shared" si="11"/>
        <v>0</v>
      </c>
    </row>
    <row r="53" spans="1:47" ht="15" customHeight="1" x14ac:dyDescent="0.25">
      <c r="A53" s="261">
        <v>50</v>
      </c>
      <c r="B53" s="5">
        <v>391720</v>
      </c>
      <c r="C53" s="6" t="s">
        <v>136</v>
      </c>
      <c r="D53" s="262"/>
      <c r="E53" s="263"/>
      <c r="F53" s="264"/>
      <c r="G53" s="262"/>
      <c r="H53" s="264"/>
      <c r="I53" s="262"/>
      <c r="J53" s="264"/>
      <c r="K53" s="262"/>
      <c r="L53" s="265">
        <v>0</v>
      </c>
      <c r="M53" s="266">
        <v>0</v>
      </c>
      <c r="N53" s="264"/>
      <c r="O53" s="262"/>
      <c r="P53" s="267">
        <v>0</v>
      </c>
      <c r="Q53" s="265"/>
      <c r="R53" s="266"/>
      <c r="S53" s="264"/>
      <c r="T53" s="262"/>
      <c r="U53" s="268">
        <v>0</v>
      </c>
      <c r="V53" s="269">
        <v>0</v>
      </c>
      <c r="W53" s="268">
        <v>0</v>
      </c>
      <c r="X53" s="269">
        <v>0</v>
      </c>
      <c r="Y53" s="268">
        <v>0</v>
      </c>
      <c r="Z53" s="269">
        <v>0</v>
      </c>
      <c r="AA53" s="268">
        <v>0</v>
      </c>
      <c r="AB53" s="269">
        <v>0</v>
      </c>
      <c r="AC53" s="270">
        <v>5109.2970000000005</v>
      </c>
      <c r="AD53" s="271">
        <v>1996000</v>
      </c>
      <c r="AE53" s="270">
        <v>3809.6060000000002</v>
      </c>
      <c r="AF53" s="271">
        <v>1459000</v>
      </c>
      <c r="AG53" s="270">
        <v>1184.971</v>
      </c>
      <c r="AH53" s="271">
        <v>113000</v>
      </c>
      <c r="AI53" s="272">
        <f t="shared" si="10"/>
        <v>5109.2970000000005</v>
      </c>
      <c r="AJ53" s="272">
        <f t="shared" si="0"/>
        <v>4994.5770000000002</v>
      </c>
      <c r="AK53" s="273">
        <f t="shared" si="5"/>
        <v>0</v>
      </c>
      <c r="AL53" s="274">
        <f t="shared" si="5"/>
        <v>0</v>
      </c>
      <c r="AM53" s="275">
        <f t="shared" si="1"/>
        <v>3568000</v>
      </c>
      <c r="AN53" s="276">
        <f t="shared" si="6"/>
        <v>3568000</v>
      </c>
      <c r="AO53" s="277">
        <f t="shared" si="2"/>
        <v>3568000</v>
      </c>
      <c r="AP53" s="331"/>
      <c r="AQ53" s="278">
        <f t="shared" si="7"/>
        <v>0</v>
      </c>
      <c r="AR53" s="331">
        <f>IFERROR((VLOOKUP(B53,'АПП Баз'!$B$8:$Y$72,24,FALSE)*1000),0)</f>
        <v>0</v>
      </c>
      <c r="AS53" s="334">
        <f t="shared" si="11"/>
        <v>0</v>
      </c>
    </row>
    <row r="54" spans="1:47" ht="15" customHeight="1" x14ac:dyDescent="0.25">
      <c r="A54" s="261">
        <v>51</v>
      </c>
      <c r="B54" s="5">
        <v>392390</v>
      </c>
      <c r="C54" s="6" t="s">
        <v>135</v>
      </c>
      <c r="D54" s="262"/>
      <c r="E54" s="263"/>
      <c r="F54" s="264"/>
      <c r="G54" s="262"/>
      <c r="H54" s="264"/>
      <c r="I54" s="262"/>
      <c r="J54" s="264"/>
      <c r="K54" s="262"/>
      <c r="L54" s="265">
        <v>0</v>
      </c>
      <c r="M54" s="266">
        <v>0</v>
      </c>
      <c r="N54" s="264"/>
      <c r="O54" s="262"/>
      <c r="P54" s="267">
        <v>0</v>
      </c>
      <c r="Q54" s="265"/>
      <c r="R54" s="266"/>
      <c r="S54" s="264"/>
      <c r="T54" s="262"/>
      <c r="U54" s="268">
        <v>0</v>
      </c>
      <c r="V54" s="269">
        <v>0</v>
      </c>
      <c r="W54" s="268">
        <v>0</v>
      </c>
      <c r="X54" s="269">
        <v>0</v>
      </c>
      <c r="Y54" s="268">
        <v>0</v>
      </c>
      <c r="Z54" s="269">
        <v>0</v>
      </c>
      <c r="AA54" s="268">
        <v>0</v>
      </c>
      <c r="AB54" s="269">
        <v>0</v>
      </c>
      <c r="AC54" s="270">
        <v>19243.442999999999</v>
      </c>
      <c r="AD54" s="271">
        <v>7636000</v>
      </c>
      <c r="AE54" s="270">
        <v>14574.222</v>
      </c>
      <c r="AF54" s="271">
        <v>5239000</v>
      </c>
      <c r="AG54" s="270">
        <v>4255.0110000000004</v>
      </c>
      <c r="AH54" s="271">
        <v>408000</v>
      </c>
      <c r="AI54" s="272">
        <f t="shared" si="10"/>
        <v>19243.442999999999</v>
      </c>
      <c r="AJ54" s="272">
        <f t="shared" si="0"/>
        <v>18829.233</v>
      </c>
      <c r="AK54" s="273">
        <f t="shared" si="5"/>
        <v>0</v>
      </c>
      <c r="AL54" s="274">
        <f t="shared" si="5"/>
        <v>0</v>
      </c>
      <c r="AM54" s="275">
        <f t="shared" si="1"/>
        <v>13283000</v>
      </c>
      <c r="AN54" s="276">
        <f t="shared" si="6"/>
        <v>13283000</v>
      </c>
      <c r="AO54" s="277">
        <f t="shared" si="2"/>
        <v>13283000</v>
      </c>
      <c r="AP54" s="331"/>
      <c r="AQ54" s="278">
        <f t="shared" si="7"/>
        <v>0</v>
      </c>
      <c r="AR54" s="331">
        <f>IFERROR((VLOOKUP(B54,'АПП Баз'!$B$8:$Y$72,24,FALSE)*1000),0)</f>
        <v>0</v>
      </c>
      <c r="AS54" s="334">
        <f t="shared" si="11"/>
        <v>0</v>
      </c>
    </row>
    <row r="55" spans="1:47" ht="15" customHeight="1" x14ac:dyDescent="0.25">
      <c r="A55" s="261">
        <v>52</v>
      </c>
      <c r="B55" s="5">
        <v>392310</v>
      </c>
      <c r="C55" s="6" t="s">
        <v>134</v>
      </c>
      <c r="D55" s="262"/>
      <c r="E55" s="263"/>
      <c r="F55" s="264"/>
      <c r="G55" s="262"/>
      <c r="H55" s="264"/>
      <c r="I55" s="262"/>
      <c r="J55" s="264"/>
      <c r="K55" s="262"/>
      <c r="L55" s="265">
        <v>0</v>
      </c>
      <c r="M55" s="266">
        <v>0</v>
      </c>
      <c r="N55" s="264"/>
      <c r="O55" s="262"/>
      <c r="P55" s="267">
        <v>0</v>
      </c>
      <c r="Q55" s="265"/>
      <c r="R55" s="266"/>
      <c r="S55" s="264"/>
      <c r="T55" s="262"/>
      <c r="U55" s="268">
        <v>0</v>
      </c>
      <c r="V55" s="269">
        <v>0</v>
      </c>
      <c r="W55" s="268">
        <v>0</v>
      </c>
      <c r="X55" s="269">
        <v>0</v>
      </c>
      <c r="Y55" s="268">
        <v>0</v>
      </c>
      <c r="Z55" s="269">
        <v>0</v>
      </c>
      <c r="AA55" s="268">
        <v>0</v>
      </c>
      <c r="AB55" s="269">
        <v>0</v>
      </c>
      <c r="AC55" s="270">
        <v>5626.5330000000004</v>
      </c>
      <c r="AD55" s="271">
        <v>2267000</v>
      </c>
      <c r="AE55" s="270">
        <v>4326.8419999999996</v>
      </c>
      <c r="AF55" s="271">
        <v>1459000</v>
      </c>
      <c r="AG55" s="270">
        <v>1184.971</v>
      </c>
      <c r="AH55" s="271">
        <v>113000</v>
      </c>
      <c r="AI55" s="272">
        <f t="shared" si="10"/>
        <v>5626.5330000000004</v>
      </c>
      <c r="AJ55" s="272">
        <f t="shared" si="0"/>
        <v>5511.8130000000001</v>
      </c>
      <c r="AK55" s="273">
        <f t="shared" si="5"/>
        <v>0</v>
      </c>
      <c r="AL55" s="274">
        <f t="shared" si="5"/>
        <v>0</v>
      </c>
      <c r="AM55" s="275">
        <f t="shared" si="1"/>
        <v>3839000</v>
      </c>
      <c r="AN55" s="276">
        <f t="shared" si="6"/>
        <v>3839000</v>
      </c>
      <c r="AO55" s="277">
        <f t="shared" si="2"/>
        <v>3839000</v>
      </c>
      <c r="AP55" s="331"/>
      <c r="AQ55" s="278">
        <f t="shared" si="7"/>
        <v>0</v>
      </c>
      <c r="AR55" s="331">
        <f>IFERROR((VLOOKUP(B55,'АПП Баз'!$B$8:$Y$72,24,FALSE)*1000),0)</f>
        <v>0</v>
      </c>
      <c r="AS55" s="334">
        <f t="shared" si="11"/>
        <v>0</v>
      </c>
    </row>
    <row r="56" spans="1:47" ht="15" customHeight="1" x14ac:dyDescent="0.25">
      <c r="A56" s="261">
        <v>53</v>
      </c>
      <c r="B56" s="5">
        <v>391330</v>
      </c>
      <c r="C56" s="6" t="s">
        <v>133</v>
      </c>
      <c r="D56" s="262"/>
      <c r="E56" s="263"/>
      <c r="F56" s="264"/>
      <c r="G56" s="262"/>
      <c r="H56" s="264"/>
      <c r="I56" s="262"/>
      <c r="J56" s="264"/>
      <c r="K56" s="262"/>
      <c r="L56" s="265">
        <v>0</v>
      </c>
      <c r="M56" s="266">
        <v>0</v>
      </c>
      <c r="N56" s="264"/>
      <c r="O56" s="262"/>
      <c r="P56" s="267">
        <v>0</v>
      </c>
      <c r="Q56" s="265"/>
      <c r="R56" s="266"/>
      <c r="S56" s="264"/>
      <c r="T56" s="262"/>
      <c r="U56" s="268">
        <v>0</v>
      </c>
      <c r="V56" s="269">
        <v>0</v>
      </c>
      <c r="W56" s="268">
        <v>0</v>
      </c>
      <c r="X56" s="269">
        <v>0</v>
      </c>
      <c r="Y56" s="268">
        <v>0</v>
      </c>
      <c r="Z56" s="269">
        <v>0</v>
      </c>
      <c r="AA56" s="268">
        <v>0</v>
      </c>
      <c r="AB56" s="269">
        <v>0</v>
      </c>
      <c r="AC56" s="270">
        <v>3596.3690000000001</v>
      </c>
      <c r="AD56" s="271">
        <v>1033000</v>
      </c>
      <c r="AE56" s="270">
        <v>1971.604</v>
      </c>
      <c r="AF56" s="271">
        <v>1823000</v>
      </c>
      <c r="AG56" s="270">
        <v>1480.604</v>
      </c>
      <c r="AH56" s="271">
        <v>142000</v>
      </c>
      <c r="AI56" s="272">
        <f t="shared" si="10"/>
        <v>3596.3690000000001</v>
      </c>
      <c r="AJ56" s="272">
        <f t="shared" si="0"/>
        <v>3452.2080000000001</v>
      </c>
      <c r="AK56" s="273">
        <f t="shared" si="5"/>
        <v>0</v>
      </c>
      <c r="AL56" s="274">
        <f t="shared" si="5"/>
        <v>0</v>
      </c>
      <c r="AM56" s="275">
        <f t="shared" si="1"/>
        <v>2998000</v>
      </c>
      <c r="AN56" s="276">
        <f t="shared" si="6"/>
        <v>2998000</v>
      </c>
      <c r="AO56" s="277">
        <f t="shared" si="2"/>
        <v>2998000</v>
      </c>
      <c r="AP56" s="331"/>
      <c r="AQ56" s="278">
        <f t="shared" si="7"/>
        <v>0</v>
      </c>
      <c r="AR56" s="331">
        <f>IFERROR((VLOOKUP(B56,'АПП Баз'!$B$8:$Y$72,24,FALSE)*1000),0)</f>
        <v>0</v>
      </c>
      <c r="AS56" s="334">
        <f t="shared" si="11"/>
        <v>0</v>
      </c>
    </row>
    <row r="57" spans="1:47" ht="15" customHeight="1" x14ac:dyDescent="0.25">
      <c r="A57" s="261">
        <v>54</v>
      </c>
      <c r="B57" s="5">
        <v>392330</v>
      </c>
      <c r="C57" s="6" t="s">
        <v>132</v>
      </c>
      <c r="D57" s="262"/>
      <c r="E57" s="263"/>
      <c r="F57" s="264"/>
      <c r="G57" s="262"/>
      <c r="H57" s="264"/>
      <c r="I57" s="262"/>
      <c r="J57" s="264"/>
      <c r="K57" s="262"/>
      <c r="L57" s="265">
        <v>0</v>
      </c>
      <c r="M57" s="266">
        <v>0</v>
      </c>
      <c r="N57" s="264"/>
      <c r="O57" s="262"/>
      <c r="P57" s="267">
        <v>0</v>
      </c>
      <c r="Q57" s="265"/>
      <c r="R57" s="266"/>
      <c r="S57" s="264"/>
      <c r="T57" s="262"/>
      <c r="U57" s="268">
        <v>0</v>
      </c>
      <c r="V57" s="269">
        <v>0</v>
      </c>
      <c r="W57" s="268">
        <v>0</v>
      </c>
      <c r="X57" s="269">
        <v>0</v>
      </c>
      <c r="Y57" s="268">
        <v>0</v>
      </c>
      <c r="Z57" s="269">
        <v>0</v>
      </c>
      <c r="AA57" s="268">
        <v>0</v>
      </c>
      <c r="AB57" s="269">
        <v>0</v>
      </c>
      <c r="AC57" s="270">
        <v>3994.2559999999999</v>
      </c>
      <c r="AD57" s="271">
        <v>1582000</v>
      </c>
      <c r="AE57" s="270">
        <v>3019.4369999999999</v>
      </c>
      <c r="AF57" s="271">
        <v>1094000</v>
      </c>
      <c r="AG57" s="270">
        <v>888.52499999999998</v>
      </c>
      <c r="AH57" s="271">
        <v>85000</v>
      </c>
      <c r="AI57" s="272">
        <f t="shared" si="10"/>
        <v>3994.2559999999999</v>
      </c>
      <c r="AJ57" s="272">
        <f t="shared" si="0"/>
        <v>3907.962</v>
      </c>
      <c r="AK57" s="273">
        <f t="shared" si="5"/>
        <v>0</v>
      </c>
      <c r="AL57" s="274">
        <f t="shared" si="5"/>
        <v>0</v>
      </c>
      <c r="AM57" s="275">
        <f t="shared" si="1"/>
        <v>2761000</v>
      </c>
      <c r="AN57" s="276">
        <f t="shared" si="6"/>
        <v>2761000</v>
      </c>
      <c r="AO57" s="277">
        <f t="shared" si="2"/>
        <v>2761000</v>
      </c>
      <c r="AP57" s="331"/>
      <c r="AQ57" s="278">
        <f t="shared" si="7"/>
        <v>0</v>
      </c>
      <c r="AR57" s="331">
        <f>IFERROR((VLOOKUP(B57,'АПП Баз'!$B$8:$Y$72,24,FALSE)*1000),0)</f>
        <v>0</v>
      </c>
      <c r="AS57" s="334">
        <f t="shared" si="11"/>
        <v>0</v>
      </c>
    </row>
    <row r="58" spans="1:47" ht="15" customHeight="1" x14ac:dyDescent="0.25">
      <c r="A58" s="261">
        <v>55</v>
      </c>
      <c r="B58" s="5">
        <v>392350</v>
      </c>
      <c r="C58" s="6" t="s">
        <v>131</v>
      </c>
      <c r="D58" s="262"/>
      <c r="E58" s="263"/>
      <c r="F58" s="264"/>
      <c r="G58" s="262"/>
      <c r="H58" s="264"/>
      <c r="I58" s="262"/>
      <c r="J58" s="264"/>
      <c r="K58" s="262"/>
      <c r="L58" s="265">
        <v>0</v>
      </c>
      <c r="M58" s="266">
        <v>0</v>
      </c>
      <c r="N58" s="264"/>
      <c r="O58" s="262"/>
      <c r="P58" s="267">
        <v>0</v>
      </c>
      <c r="Q58" s="265"/>
      <c r="R58" s="266"/>
      <c r="S58" s="264"/>
      <c r="T58" s="262"/>
      <c r="U58" s="268">
        <v>0</v>
      </c>
      <c r="V58" s="269">
        <v>0</v>
      </c>
      <c r="W58" s="268">
        <v>0</v>
      </c>
      <c r="X58" s="269">
        <v>0</v>
      </c>
      <c r="Y58" s="268">
        <v>0</v>
      </c>
      <c r="Z58" s="269">
        <v>0</v>
      </c>
      <c r="AA58" s="268">
        <v>0</v>
      </c>
      <c r="AB58" s="269">
        <v>0</v>
      </c>
      <c r="AC58" s="270">
        <v>983.67100000000005</v>
      </c>
      <c r="AD58" s="271">
        <v>414000</v>
      </c>
      <c r="AE58" s="270">
        <v>790.16899999999998</v>
      </c>
      <c r="AF58" s="271">
        <v>217000</v>
      </c>
      <c r="AG58" s="270">
        <v>176.24299999999999</v>
      </c>
      <c r="AH58" s="271">
        <v>17000</v>
      </c>
      <c r="AI58" s="272">
        <f t="shared" si="10"/>
        <v>983.67100000000005</v>
      </c>
      <c r="AJ58" s="272">
        <f t="shared" si="0"/>
        <v>966.41200000000003</v>
      </c>
      <c r="AK58" s="273">
        <f t="shared" si="5"/>
        <v>0</v>
      </c>
      <c r="AL58" s="274">
        <f t="shared" si="5"/>
        <v>0</v>
      </c>
      <c r="AM58" s="275">
        <f t="shared" si="1"/>
        <v>648000</v>
      </c>
      <c r="AN58" s="276">
        <f t="shared" si="6"/>
        <v>648000</v>
      </c>
      <c r="AO58" s="277">
        <f t="shared" si="2"/>
        <v>648000</v>
      </c>
      <c r="AP58" s="331"/>
      <c r="AQ58" s="278">
        <f t="shared" si="7"/>
        <v>0</v>
      </c>
      <c r="AR58" s="331">
        <f>IFERROR((VLOOKUP(B58,'АПП Баз'!$B$8:$Y$72,24,FALSE)*1000),0)</f>
        <v>0</v>
      </c>
      <c r="AS58" s="334">
        <f t="shared" si="11"/>
        <v>0</v>
      </c>
    </row>
    <row r="59" spans="1:47" ht="15" customHeight="1" x14ac:dyDescent="0.25">
      <c r="A59" s="261">
        <v>56</v>
      </c>
      <c r="B59" s="5">
        <v>392380</v>
      </c>
      <c r="C59" s="6" t="s">
        <v>130</v>
      </c>
      <c r="D59" s="262"/>
      <c r="E59" s="263"/>
      <c r="F59" s="264"/>
      <c r="G59" s="262"/>
      <c r="H59" s="264"/>
      <c r="I59" s="262"/>
      <c r="J59" s="264"/>
      <c r="K59" s="262"/>
      <c r="L59" s="265">
        <v>0</v>
      </c>
      <c r="M59" s="266">
        <v>0</v>
      </c>
      <c r="N59" s="264"/>
      <c r="O59" s="262"/>
      <c r="P59" s="267">
        <v>0</v>
      </c>
      <c r="Q59" s="265"/>
      <c r="R59" s="266"/>
      <c r="S59" s="264"/>
      <c r="T59" s="262"/>
      <c r="U59" s="268">
        <v>0</v>
      </c>
      <c r="V59" s="269">
        <v>0</v>
      </c>
      <c r="W59" s="268">
        <v>0</v>
      </c>
      <c r="X59" s="269">
        <v>0</v>
      </c>
      <c r="Y59" s="268">
        <v>0</v>
      </c>
      <c r="Z59" s="269">
        <v>0</v>
      </c>
      <c r="AA59" s="268">
        <v>0</v>
      </c>
      <c r="AB59" s="269">
        <v>0</v>
      </c>
      <c r="AC59" s="270">
        <v>3144.96</v>
      </c>
      <c r="AD59" s="271">
        <v>1195000</v>
      </c>
      <c r="AE59" s="270">
        <v>2280.8009999999999</v>
      </c>
      <c r="AF59" s="271">
        <v>994000</v>
      </c>
      <c r="AG59" s="270">
        <v>807.30700000000002</v>
      </c>
      <c r="AH59" s="271">
        <v>56000</v>
      </c>
      <c r="AI59" s="272">
        <f t="shared" si="10"/>
        <v>3144.96</v>
      </c>
      <c r="AJ59" s="272">
        <f t="shared" si="0"/>
        <v>3088.1080000000002</v>
      </c>
      <c r="AK59" s="273">
        <f t="shared" si="5"/>
        <v>0</v>
      </c>
      <c r="AL59" s="274">
        <f t="shared" si="5"/>
        <v>0</v>
      </c>
      <c r="AM59" s="275">
        <f t="shared" si="1"/>
        <v>2245000</v>
      </c>
      <c r="AN59" s="276">
        <f t="shared" si="6"/>
        <v>2245000</v>
      </c>
      <c r="AO59" s="277">
        <f t="shared" si="2"/>
        <v>2245000</v>
      </c>
      <c r="AP59" s="331"/>
      <c r="AQ59" s="278">
        <f t="shared" si="7"/>
        <v>0</v>
      </c>
      <c r="AR59" s="331">
        <f>IFERROR((VLOOKUP(B59,'АПП Баз'!$B$8:$Y$72,24,FALSE)*1000),0)</f>
        <v>0</v>
      </c>
      <c r="AS59" s="334">
        <f t="shared" si="11"/>
        <v>0</v>
      </c>
    </row>
    <row r="60" spans="1:47" ht="15" customHeight="1" x14ac:dyDescent="0.25">
      <c r="A60" s="261">
        <v>57</v>
      </c>
      <c r="B60" s="5">
        <v>392610</v>
      </c>
      <c r="C60" s="6" t="s">
        <v>129</v>
      </c>
      <c r="D60" s="262"/>
      <c r="E60" s="263"/>
      <c r="F60" s="264"/>
      <c r="G60" s="262"/>
      <c r="H60" s="264"/>
      <c r="I60" s="262"/>
      <c r="J60" s="264"/>
      <c r="K60" s="262"/>
      <c r="L60" s="265">
        <v>0</v>
      </c>
      <c r="M60" s="266">
        <v>0</v>
      </c>
      <c r="N60" s="264"/>
      <c r="O60" s="262"/>
      <c r="P60" s="267">
        <v>0</v>
      </c>
      <c r="Q60" s="265"/>
      <c r="R60" s="266"/>
      <c r="S60" s="264"/>
      <c r="T60" s="262"/>
      <c r="U60" s="268">
        <v>0</v>
      </c>
      <c r="V60" s="269">
        <v>0</v>
      </c>
      <c r="W60" s="268">
        <v>0</v>
      </c>
      <c r="X60" s="269">
        <v>0</v>
      </c>
      <c r="Y60" s="268">
        <v>0</v>
      </c>
      <c r="Z60" s="269">
        <v>0</v>
      </c>
      <c r="AA60" s="268">
        <v>0</v>
      </c>
      <c r="AB60" s="269">
        <v>0</v>
      </c>
      <c r="AC60" s="270">
        <v>385.988</v>
      </c>
      <c r="AD60" s="271">
        <v>155000</v>
      </c>
      <c r="AE60" s="270">
        <v>295.83600000000001</v>
      </c>
      <c r="AF60" s="271">
        <v>101000</v>
      </c>
      <c r="AG60" s="270">
        <v>82.03</v>
      </c>
      <c r="AH60" s="271">
        <v>8000</v>
      </c>
      <c r="AI60" s="272">
        <f t="shared" si="10"/>
        <v>385.988</v>
      </c>
      <c r="AJ60" s="272">
        <f t="shared" si="0"/>
        <v>377.86599999999999</v>
      </c>
      <c r="AK60" s="273">
        <f t="shared" si="5"/>
        <v>0</v>
      </c>
      <c r="AL60" s="274">
        <f t="shared" si="5"/>
        <v>0</v>
      </c>
      <c r="AM60" s="275">
        <f t="shared" si="1"/>
        <v>264000</v>
      </c>
      <c r="AN60" s="276">
        <f t="shared" si="6"/>
        <v>264000</v>
      </c>
      <c r="AO60" s="277">
        <f t="shared" si="2"/>
        <v>264000</v>
      </c>
      <c r="AP60" s="331"/>
      <c r="AQ60" s="278">
        <f t="shared" si="7"/>
        <v>0</v>
      </c>
      <c r="AR60" s="331">
        <f>IFERROR((VLOOKUP(B60,'АПП Баз'!$B$8:$Y$72,24,FALSE)*1000),0)</f>
        <v>0</v>
      </c>
      <c r="AS60" s="334">
        <f t="shared" si="11"/>
        <v>0</v>
      </c>
    </row>
    <row r="61" spans="1:47" ht="15" customHeight="1" x14ac:dyDescent="0.25">
      <c r="A61" s="261">
        <v>58</v>
      </c>
      <c r="B61" s="5">
        <v>392620</v>
      </c>
      <c r="C61" s="6" t="s">
        <v>128</v>
      </c>
      <c r="D61" s="262"/>
      <c r="E61" s="263"/>
      <c r="F61" s="264"/>
      <c r="G61" s="262"/>
      <c r="H61" s="264"/>
      <c r="I61" s="262"/>
      <c r="J61" s="264"/>
      <c r="K61" s="262"/>
      <c r="L61" s="265">
        <v>0</v>
      </c>
      <c r="M61" s="266">
        <v>0</v>
      </c>
      <c r="N61" s="264"/>
      <c r="O61" s="262"/>
      <c r="P61" s="267">
        <v>0</v>
      </c>
      <c r="Q61" s="265"/>
      <c r="R61" s="266"/>
      <c r="S61" s="264"/>
      <c r="T61" s="262"/>
      <c r="U61" s="268">
        <v>0</v>
      </c>
      <c r="V61" s="269">
        <v>0</v>
      </c>
      <c r="W61" s="268">
        <v>0</v>
      </c>
      <c r="X61" s="269">
        <v>0</v>
      </c>
      <c r="Y61" s="268">
        <v>0</v>
      </c>
      <c r="Z61" s="269">
        <v>0</v>
      </c>
      <c r="AA61" s="268">
        <v>0</v>
      </c>
      <c r="AB61" s="269">
        <v>0</v>
      </c>
      <c r="AC61" s="270">
        <v>527.83500000000004</v>
      </c>
      <c r="AD61" s="271">
        <v>209000</v>
      </c>
      <c r="AE61" s="270">
        <v>398.90199999999999</v>
      </c>
      <c r="AF61" s="271">
        <v>145000</v>
      </c>
      <c r="AG61" s="270">
        <v>117.76600000000001</v>
      </c>
      <c r="AH61" s="271">
        <v>11000</v>
      </c>
      <c r="AI61" s="272">
        <f t="shared" si="10"/>
        <v>527.83500000000004</v>
      </c>
      <c r="AJ61" s="272">
        <f t="shared" si="0"/>
        <v>516.66800000000001</v>
      </c>
      <c r="AK61" s="273">
        <f t="shared" si="5"/>
        <v>0</v>
      </c>
      <c r="AL61" s="274">
        <f t="shared" si="5"/>
        <v>0</v>
      </c>
      <c r="AM61" s="275">
        <f t="shared" si="1"/>
        <v>365000</v>
      </c>
      <c r="AN61" s="276">
        <f t="shared" si="6"/>
        <v>365000</v>
      </c>
      <c r="AO61" s="277">
        <f t="shared" si="2"/>
        <v>365000</v>
      </c>
      <c r="AP61" s="331"/>
      <c r="AQ61" s="278">
        <f t="shared" si="7"/>
        <v>0</v>
      </c>
      <c r="AR61" s="331">
        <f>IFERROR((VLOOKUP(B61,'АПП Баз'!$B$8:$Y$72,24,FALSE)*1000),0)</f>
        <v>0</v>
      </c>
      <c r="AS61" s="334">
        <f t="shared" si="11"/>
        <v>0</v>
      </c>
    </row>
    <row r="62" spans="1:47" ht="15" customHeight="1" x14ac:dyDescent="0.25">
      <c r="A62" s="261">
        <v>59</v>
      </c>
      <c r="B62" s="437">
        <v>390009</v>
      </c>
      <c r="C62" s="6" t="s">
        <v>209</v>
      </c>
      <c r="D62" s="262"/>
      <c r="E62" s="263"/>
      <c r="F62" s="264"/>
      <c r="G62" s="262"/>
      <c r="H62" s="264"/>
      <c r="I62" s="262"/>
      <c r="J62" s="264"/>
      <c r="K62" s="262"/>
      <c r="L62" s="265">
        <v>0</v>
      </c>
      <c r="M62" s="266">
        <v>0</v>
      </c>
      <c r="N62" s="264"/>
      <c r="O62" s="262"/>
      <c r="P62" s="267">
        <v>0</v>
      </c>
      <c r="Q62" s="265"/>
      <c r="R62" s="266"/>
      <c r="S62" s="264"/>
      <c r="T62" s="262"/>
      <c r="U62" s="268">
        <v>0</v>
      </c>
      <c r="V62" s="269">
        <v>0</v>
      </c>
      <c r="W62" s="268">
        <v>0</v>
      </c>
      <c r="X62" s="269">
        <v>0</v>
      </c>
      <c r="Y62" s="268">
        <v>0</v>
      </c>
      <c r="Z62" s="269">
        <v>0</v>
      </c>
      <c r="AA62" s="268">
        <v>0</v>
      </c>
      <c r="AB62" s="269">
        <v>0</v>
      </c>
      <c r="AC62" s="270">
        <v>374.536</v>
      </c>
      <c r="AD62" s="271">
        <v>149000</v>
      </c>
      <c r="AE62" s="270">
        <v>284.38400000000001</v>
      </c>
      <c r="AF62" s="271">
        <v>101000</v>
      </c>
      <c r="AG62" s="270">
        <v>82.03</v>
      </c>
      <c r="AH62" s="271">
        <v>8000</v>
      </c>
      <c r="AI62" s="272">
        <f t="shared" si="10"/>
        <v>374.536</v>
      </c>
      <c r="AJ62" s="272">
        <f t="shared" si="0"/>
        <v>366.41399999999999</v>
      </c>
      <c r="AK62" s="273">
        <f t="shared" si="5"/>
        <v>0</v>
      </c>
      <c r="AL62" s="274">
        <f t="shared" si="5"/>
        <v>0</v>
      </c>
      <c r="AM62" s="275">
        <f t="shared" si="1"/>
        <v>258000</v>
      </c>
      <c r="AN62" s="276">
        <f t="shared" si="6"/>
        <v>258000</v>
      </c>
      <c r="AO62" s="277">
        <f t="shared" si="2"/>
        <v>258000</v>
      </c>
      <c r="AP62" s="331"/>
      <c r="AQ62" s="278">
        <f t="shared" si="7"/>
        <v>0</v>
      </c>
      <c r="AR62" s="331">
        <f>IFERROR((VLOOKUP(B62,'АПП Баз'!$B$8:$Y$72,24,FALSE)*1000),0)</f>
        <v>0</v>
      </c>
      <c r="AS62" s="334">
        <f t="shared" si="11"/>
        <v>0</v>
      </c>
    </row>
    <row r="63" spans="1:47" ht="15" customHeight="1" x14ac:dyDescent="0.25">
      <c r="A63" s="261">
        <v>60</v>
      </c>
      <c r="B63" s="437">
        <v>390011</v>
      </c>
      <c r="C63" s="67" t="s">
        <v>266</v>
      </c>
      <c r="D63" s="262"/>
      <c r="E63" s="263"/>
      <c r="F63" s="264"/>
      <c r="G63" s="262"/>
      <c r="H63" s="264"/>
      <c r="I63" s="262"/>
      <c r="J63" s="264"/>
      <c r="K63" s="262"/>
      <c r="L63" s="265">
        <v>0</v>
      </c>
      <c r="M63" s="266">
        <v>0</v>
      </c>
      <c r="N63" s="264"/>
      <c r="O63" s="262"/>
      <c r="P63" s="267">
        <v>0</v>
      </c>
      <c r="Q63" s="265"/>
      <c r="R63" s="266"/>
      <c r="S63" s="264"/>
      <c r="T63" s="262"/>
      <c r="U63" s="268">
        <v>0</v>
      </c>
      <c r="V63" s="269">
        <v>0</v>
      </c>
      <c r="W63" s="268">
        <v>0</v>
      </c>
      <c r="X63" s="269">
        <v>0</v>
      </c>
      <c r="Y63" s="268">
        <v>0</v>
      </c>
      <c r="Z63" s="269">
        <v>0</v>
      </c>
      <c r="AA63" s="268">
        <v>0</v>
      </c>
      <c r="AB63" s="269">
        <v>0</v>
      </c>
      <c r="AC63" s="270">
        <v>374.536</v>
      </c>
      <c r="AD63" s="271">
        <v>149000</v>
      </c>
      <c r="AE63" s="270">
        <v>284.38400000000001</v>
      </c>
      <c r="AF63" s="271">
        <v>101000</v>
      </c>
      <c r="AG63" s="270">
        <v>82.03</v>
      </c>
      <c r="AH63" s="271">
        <v>8000</v>
      </c>
      <c r="AI63" s="272">
        <f t="shared" ref="AI63" si="12">L63+N63</f>
        <v>0</v>
      </c>
      <c r="AJ63" s="272">
        <f t="shared" si="0"/>
        <v>366.41399999999999</v>
      </c>
      <c r="AK63" s="273">
        <f t="shared" si="5"/>
        <v>0</v>
      </c>
      <c r="AL63" s="274">
        <f t="shared" si="5"/>
        <v>0</v>
      </c>
      <c r="AM63" s="275">
        <f t="shared" si="1"/>
        <v>258000</v>
      </c>
      <c r="AN63" s="276">
        <f t="shared" si="6"/>
        <v>258000</v>
      </c>
      <c r="AO63" s="277">
        <f t="shared" si="2"/>
        <v>258000</v>
      </c>
      <c r="AP63" s="331"/>
      <c r="AQ63" s="278">
        <f t="shared" si="7"/>
        <v>0</v>
      </c>
      <c r="AR63" s="331">
        <f>IFERROR((VLOOKUP(B63,'АПП Баз'!$B$8:$Y$72,24,FALSE)*1000),0)</f>
        <v>0</v>
      </c>
      <c r="AS63" s="334">
        <f t="shared" si="11"/>
        <v>0</v>
      </c>
    </row>
    <row r="64" spans="1:47" s="289" customFormat="1" ht="15" customHeight="1" x14ac:dyDescent="0.25">
      <c r="A64" s="261">
        <v>61</v>
      </c>
      <c r="B64" s="216">
        <v>390782</v>
      </c>
      <c r="C64" s="160" t="s">
        <v>193</v>
      </c>
      <c r="D64" s="287"/>
      <c r="E64" s="287"/>
      <c r="F64" s="288"/>
      <c r="G64" s="287"/>
      <c r="H64" s="288"/>
      <c r="I64" s="287"/>
      <c r="J64" s="288"/>
      <c r="K64" s="287"/>
      <c r="L64" s="265"/>
      <c r="M64" s="266"/>
      <c r="N64" s="288">
        <v>829</v>
      </c>
      <c r="O64" s="287">
        <v>71417904</v>
      </c>
      <c r="P64" s="267">
        <v>0</v>
      </c>
      <c r="Q64" s="494">
        <f>VLOOKUP($B64,'АПП Баз'!$B$8:$X$73,10,FALSE)+VLOOKUP($B64,'АПП Баз'!$B$8:$X$73,22,FALSE)</f>
        <v>0</v>
      </c>
      <c r="R64" s="495">
        <f>(VLOOKUP($B64,'АПП Баз'!$B$8:$X$73,11,FALSE)+VLOOKUP($B64,'АПП Баз'!$B$8:$X$73,23,FALSE))*1000</f>
        <v>0</v>
      </c>
      <c r="S64" s="288"/>
      <c r="T64" s="287"/>
      <c r="U64" s="268">
        <v>0</v>
      </c>
      <c r="V64" s="269">
        <v>0</v>
      </c>
      <c r="W64" s="268">
        <v>0</v>
      </c>
      <c r="X64" s="269">
        <v>0</v>
      </c>
      <c r="Y64" s="268">
        <v>0</v>
      </c>
      <c r="Z64" s="269">
        <v>0</v>
      </c>
      <c r="AA64" s="268">
        <v>0</v>
      </c>
      <c r="AB64" s="269">
        <v>0</v>
      </c>
      <c r="AC64" s="284"/>
      <c r="AD64" s="285"/>
      <c r="AE64" s="284"/>
      <c r="AF64" s="285"/>
      <c r="AG64" s="284"/>
      <c r="AH64" s="285"/>
      <c r="AI64" s="272">
        <f t="shared" si="4"/>
        <v>829</v>
      </c>
      <c r="AJ64" s="272">
        <f t="shared" si="0"/>
        <v>0</v>
      </c>
      <c r="AK64" s="273">
        <f t="shared" si="5"/>
        <v>0</v>
      </c>
      <c r="AL64" s="274">
        <f t="shared" si="5"/>
        <v>0</v>
      </c>
      <c r="AM64" s="275">
        <f t="shared" si="1"/>
        <v>71417904</v>
      </c>
      <c r="AN64" s="276">
        <f t="shared" si="6"/>
        <v>71417904</v>
      </c>
      <c r="AO64" s="277">
        <f t="shared" si="2"/>
        <v>71417904</v>
      </c>
      <c r="AP64" s="331"/>
      <c r="AQ64" s="278">
        <f t="shared" si="7"/>
        <v>71417904</v>
      </c>
      <c r="AR64" s="331">
        <f>IFERROR((VLOOKUP(B64,'АПП Баз'!$B$8:$Y$72,24,FALSE)*1000),0)</f>
        <v>71400021.280000001</v>
      </c>
      <c r="AS64" s="334">
        <f t="shared" si="11"/>
        <v>17882.719999998808</v>
      </c>
      <c r="AU64" s="518"/>
    </row>
    <row r="65" spans="1:47" s="289" customFormat="1" ht="15" customHeight="1" x14ac:dyDescent="0.25">
      <c r="A65" s="261">
        <v>62</v>
      </c>
      <c r="B65" s="216">
        <v>392080</v>
      </c>
      <c r="C65" s="160" t="s">
        <v>194</v>
      </c>
      <c r="D65" s="287"/>
      <c r="E65" s="287"/>
      <c r="F65" s="288"/>
      <c r="G65" s="287"/>
      <c r="H65" s="288"/>
      <c r="I65" s="287"/>
      <c r="J65" s="288"/>
      <c r="K65" s="287"/>
      <c r="L65" s="265"/>
      <c r="M65" s="266"/>
      <c r="N65" s="288">
        <v>431</v>
      </c>
      <c r="O65" s="287">
        <v>43053226.920000002</v>
      </c>
      <c r="P65" s="267">
        <v>0</v>
      </c>
      <c r="Q65" s="494">
        <f>VLOOKUP($B65,'АПП Баз'!$B$8:$X$73,10,FALSE)+VLOOKUP($B65,'АПП Баз'!$B$8:$X$73,22,FALSE)</f>
        <v>0</v>
      </c>
      <c r="R65" s="495">
        <f>(VLOOKUP($B65,'АПП Баз'!$B$8:$X$73,11,FALSE)+VLOOKUP($B65,'АПП Баз'!$B$8:$X$73,23,FALSE))*1000</f>
        <v>0</v>
      </c>
      <c r="S65" s="288"/>
      <c r="T65" s="287"/>
      <c r="U65" s="268">
        <v>0</v>
      </c>
      <c r="V65" s="269">
        <v>0</v>
      </c>
      <c r="W65" s="268">
        <v>0</v>
      </c>
      <c r="X65" s="269">
        <v>0</v>
      </c>
      <c r="Y65" s="268">
        <v>0</v>
      </c>
      <c r="Z65" s="269">
        <v>0</v>
      </c>
      <c r="AA65" s="268">
        <v>0</v>
      </c>
      <c r="AB65" s="269">
        <v>0</v>
      </c>
      <c r="AC65" s="284"/>
      <c r="AD65" s="285"/>
      <c r="AE65" s="284"/>
      <c r="AF65" s="285"/>
      <c r="AG65" s="284"/>
      <c r="AH65" s="285"/>
      <c r="AI65" s="272">
        <f t="shared" si="4"/>
        <v>431</v>
      </c>
      <c r="AJ65" s="272">
        <f t="shared" si="0"/>
        <v>0</v>
      </c>
      <c r="AK65" s="273">
        <f t="shared" si="5"/>
        <v>0</v>
      </c>
      <c r="AL65" s="274">
        <f t="shared" si="5"/>
        <v>0</v>
      </c>
      <c r="AM65" s="275">
        <f t="shared" si="1"/>
        <v>43053226.920000002</v>
      </c>
      <c r="AN65" s="276">
        <f t="shared" si="6"/>
        <v>43053226.920000002</v>
      </c>
      <c r="AO65" s="277">
        <f t="shared" si="2"/>
        <v>43053226.920000002</v>
      </c>
      <c r="AP65" s="331"/>
      <c r="AQ65" s="278">
        <f t="shared" si="7"/>
        <v>43053226.920000002</v>
      </c>
      <c r="AR65" s="331">
        <f>IFERROR((VLOOKUP(B65,'АПП Баз'!$B$8:$Y$72,24,FALSE)*1000),0)</f>
        <v>48241745.949999996</v>
      </c>
      <c r="AS65" s="334">
        <f t="shared" si="11"/>
        <v>-5188519.0299999937</v>
      </c>
      <c r="AU65" s="518"/>
    </row>
    <row r="66" spans="1:47" s="289" customFormat="1" ht="15" customHeight="1" x14ac:dyDescent="0.25">
      <c r="A66" s="261">
        <v>63</v>
      </c>
      <c r="B66" s="216">
        <v>392160</v>
      </c>
      <c r="C66" s="160" t="s">
        <v>195</v>
      </c>
      <c r="D66" s="287"/>
      <c r="E66" s="287"/>
      <c r="F66" s="288"/>
      <c r="G66" s="287"/>
      <c r="H66" s="288"/>
      <c r="I66" s="287"/>
      <c r="J66" s="288"/>
      <c r="K66" s="287"/>
      <c r="L66" s="265"/>
      <c r="M66" s="266"/>
      <c r="N66" s="288">
        <v>2829</v>
      </c>
      <c r="O66" s="287">
        <v>249040823.31</v>
      </c>
      <c r="P66" s="267">
        <v>0</v>
      </c>
      <c r="Q66" s="494">
        <f>VLOOKUP($B66,'АПП Баз'!$B$8:$X$73,10,FALSE)+VLOOKUP($B66,'АПП Баз'!$B$8:$X$73,22,FALSE)</f>
        <v>0</v>
      </c>
      <c r="R66" s="495">
        <f>(VLOOKUP($B66,'АПП Баз'!$B$8:$X$73,11,FALSE)+VLOOKUP($B66,'АПП Баз'!$B$8:$X$73,23,FALSE))*1000</f>
        <v>0</v>
      </c>
      <c r="S66" s="288"/>
      <c r="T66" s="287"/>
      <c r="U66" s="268">
        <v>0</v>
      </c>
      <c r="V66" s="269">
        <v>0</v>
      </c>
      <c r="W66" s="268">
        <v>0</v>
      </c>
      <c r="X66" s="269">
        <v>0</v>
      </c>
      <c r="Y66" s="268">
        <v>0</v>
      </c>
      <c r="Z66" s="269">
        <v>0</v>
      </c>
      <c r="AA66" s="268">
        <v>0</v>
      </c>
      <c r="AB66" s="269">
        <v>0</v>
      </c>
      <c r="AC66" s="284"/>
      <c r="AD66" s="285"/>
      <c r="AE66" s="284"/>
      <c r="AF66" s="285"/>
      <c r="AG66" s="284"/>
      <c r="AH66" s="285"/>
      <c r="AI66" s="272">
        <f t="shared" si="4"/>
        <v>2829</v>
      </c>
      <c r="AJ66" s="272">
        <f t="shared" si="0"/>
        <v>0</v>
      </c>
      <c r="AK66" s="273">
        <f t="shared" si="5"/>
        <v>0</v>
      </c>
      <c r="AL66" s="274">
        <f t="shared" si="5"/>
        <v>0</v>
      </c>
      <c r="AM66" s="275">
        <f t="shared" si="1"/>
        <v>249040823.31</v>
      </c>
      <c r="AN66" s="276">
        <f t="shared" si="6"/>
        <v>249040823.31</v>
      </c>
      <c r="AO66" s="277">
        <f t="shared" si="2"/>
        <v>249040823.31</v>
      </c>
      <c r="AP66" s="331"/>
      <c r="AQ66" s="278">
        <f t="shared" si="7"/>
        <v>249040823.31</v>
      </c>
      <c r="AR66" s="331">
        <f>IFERROR((VLOOKUP(B66,'АПП Баз'!$B$8:$Y$72,24,FALSE)*1000),0)</f>
        <v>252727514.64999998</v>
      </c>
      <c r="AS66" s="334">
        <f t="shared" si="11"/>
        <v>-3686691.3399999738</v>
      </c>
      <c r="AU66" s="518"/>
    </row>
    <row r="67" spans="1:47" ht="15" customHeight="1" x14ac:dyDescent="0.25">
      <c r="A67" s="261">
        <v>64</v>
      </c>
      <c r="B67" s="5">
        <v>392400</v>
      </c>
      <c r="C67" s="6" t="s">
        <v>51</v>
      </c>
      <c r="D67" s="262"/>
      <c r="E67" s="263"/>
      <c r="F67" s="264"/>
      <c r="G67" s="262"/>
      <c r="H67" s="264"/>
      <c r="I67" s="262"/>
      <c r="J67" s="264"/>
      <c r="K67" s="262"/>
      <c r="L67" s="265">
        <v>900</v>
      </c>
      <c r="M67" s="266">
        <v>1191861</v>
      </c>
      <c r="N67" s="264"/>
      <c r="O67" s="262"/>
      <c r="P67" s="267">
        <v>0</v>
      </c>
      <c r="Q67" s="494">
        <f>VLOOKUP($B67,'АПП Баз'!$B$8:$X$73,10,FALSE)+VLOOKUP($B67,'АПП Баз'!$B$8:$X$73,22,FALSE)</f>
        <v>0</v>
      </c>
      <c r="R67" s="495">
        <f>(VLOOKUP($B67,'АПП Баз'!$B$8:$X$73,11,FALSE)+VLOOKUP($B67,'АПП Баз'!$B$8:$X$73,23,FALSE))*1000</f>
        <v>0</v>
      </c>
      <c r="S67" s="264"/>
      <c r="T67" s="262"/>
      <c r="U67" s="268">
        <v>0</v>
      </c>
      <c r="V67" s="269">
        <v>0</v>
      </c>
      <c r="W67" s="268">
        <v>0</v>
      </c>
      <c r="X67" s="269">
        <v>0</v>
      </c>
      <c r="Y67" s="268">
        <v>0</v>
      </c>
      <c r="Z67" s="269">
        <v>0</v>
      </c>
      <c r="AA67" s="268">
        <v>0</v>
      </c>
      <c r="AB67" s="269">
        <v>0</v>
      </c>
      <c r="AC67" s="284"/>
      <c r="AD67" s="285"/>
      <c r="AE67" s="284"/>
      <c r="AF67" s="285"/>
      <c r="AG67" s="284"/>
      <c r="AH67" s="285"/>
      <c r="AI67" s="272">
        <f t="shared" si="4"/>
        <v>900</v>
      </c>
      <c r="AJ67" s="272">
        <f t="shared" si="0"/>
        <v>0</v>
      </c>
      <c r="AK67" s="273">
        <f t="shared" si="5"/>
        <v>0</v>
      </c>
      <c r="AL67" s="274">
        <f t="shared" si="5"/>
        <v>0</v>
      </c>
      <c r="AM67" s="275">
        <f t="shared" si="1"/>
        <v>1191861</v>
      </c>
      <c r="AN67" s="276">
        <f t="shared" si="6"/>
        <v>1191861</v>
      </c>
      <c r="AO67" s="277">
        <f t="shared" si="2"/>
        <v>1191861</v>
      </c>
      <c r="AP67" s="331"/>
      <c r="AQ67" s="278">
        <f t="shared" si="7"/>
        <v>1191861</v>
      </c>
      <c r="AR67" s="331">
        <f>IFERROR((VLOOKUP(B67,'АПП Баз'!$B$8:$Y$72,24,FALSE)*1000),0)</f>
        <v>0</v>
      </c>
      <c r="AS67" s="334">
        <f t="shared" si="11"/>
        <v>1191861</v>
      </c>
    </row>
    <row r="68" spans="1:47" ht="15" customHeight="1" x14ac:dyDescent="0.25">
      <c r="A68" s="261">
        <v>65</v>
      </c>
      <c r="B68" s="5">
        <v>391492</v>
      </c>
      <c r="C68" s="6" t="s">
        <v>196</v>
      </c>
      <c r="D68" s="262"/>
      <c r="E68" s="263"/>
      <c r="F68" s="264"/>
      <c r="G68" s="262"/>
      <c r="H68" s="264"/>
      <c r="I68" s="262"/>
      <c r="J68" s="264"/>
      <c r="K68" s="262"/>
      <c r="L68" s="265">
        <v>0</v>
      </c>
      <c r="M68" s="266">
        <v>0</v>
      </c>
      <c r="N68" s="264"/>
      <c r="O68" s="262"/>
      <c r="P68" s="267">
        <v>0</v>
      </c>
      <c r="Q68" s="494">
        <f>VLOOKUP($B68,'АПП Баз'!$B$8:$X$73,10,FALSE)+VLOOKUP($B68,'АПП Баз'!$B$8:$X$73,22,FALSE)</f>
        <v>0</v>
      </c>
      <c r="R68" s="495">
        <f>(VLOOKUP($B68,'АПП Баз'!$B$8:$X$73,11,FALSE)+VLOOKUP($B68,'АПП Баз'!$B$8:$X$73,23,FALSE))*1000</f>
        <v>0</v>
      </c>
      <c r="S68" s="264"/>
      <c r="T68" s="262"/>
      <c r="U68" s="268">
        <v>0</v>
      </c>
      <c r="V68" s="269">
        <v>0</v>
      </c>
      <c r="W68" s="268">
        <v>0</v>
      </c>
      <c r="X68" s="269">
        <v>0</v>
      </c>
      <c r="Y68" s="268">
        <v>0</v>
      </c>
      <c r="Z68" s="269">
        <v>0</v>
      </c>
      <c r="AA68" s="268">
        <v>0</v>
      </c>
      <c r="AB68" s="269">
        <v>0</v>
      </c>
      <c r="AC68" s="284"/>
      <c r="AD68" s="285"/>
      <c r="AE68" s="284"/>
      <c r="AF68" s="285"/>
      <c r="AG68" s="284"/>
      <c r="AH68" s="285"/>
      <c r="AI68" s="272">
        <f t="shared" si="4"/>
        <v>0</v>
      </c>
      <c r="AJ68" s="272">
        <f t="shared" si="0"/>
        <v>0</v>
      </c>
      <c r="AK68" s="273">
        <f t="shared" si="5"/>
        <v>0</v>
      </c>
      <c r="AL68" s="274">
        <f t="shared" si="5"/>
        <v>0</v>
      </c>
      <c r="AM68" s="275">
        <f t="shared" si="1"/>
        <v>0</v>
      </c>
      <c r="AN68" s="276">
        <f t="shared" si="6"/>
        <v>0</v>
      </c>
      <c r="AO68" s="277">
        <f t="shared" si="2"/>
        <v>0</v>
      </c>
      <c r="AP68" s="331"/>
      <c r="AQ68" s="278">
        <f t="shared" si="7"/>
        <v>0</v>
      </c>
      <c r="AR68" s="331">
        <f>IFERROR((VLOOKUP(B68,'АПП Баз'!$B$8:$Y$72,24,FALSE)*1000),0)</f>
        <v>0</v>
      </c>
      <c r="AS68" s="334">
        <f t="shared" si="11"/>
        <v>0</v>
      </c>
    </row>
    <row r="69" spans="1:47" ht="15" customHeight="1" x14ac:dyDescent="0.25">
      <c r="A69" s="261">
        <v>66</v>
      </c>
      <c r="B69" s="5">
        <v>392320</v>
      </c>
      <c r="C69" s="6" t="s">
        <v>52</v>
      </c>
      <c r="D69" s="262"/>
      <c r="E69" s="263"/>
      <c r="F69" s="264"/>
      <c r="G69" s="262"/>
      <c r="H69" s="264"/>
      <c r="I69" s="262"/>
      <c r="J69" s="264"/>
      <c r="K69" s="262"/>
      <c r="L69" s="265">
        <v>750</v>
      </c>
      <c r="M69" s="266">
        <v>993217.5</v>
      </c>
      <c r="N69" s="264"/>
      <c r="O69" s="262"/>
      <c r="P69" s="267">
        <v>0</v>
      </c>
      <c r="Q69" s="494">
        <f>VLOOKUP($B69,'АПП Баз'!$B$8:$X$73,10,FALSE)+VLOOKUP($B69,'АПП Баз'!$B$8:$X$73,22,FALSE)</f>
        <v>0</v>
      </c>
      <c r="R69" s="495">
        <f>(VLOOKUP($B69,'АПП Баз'!$B$8:$X$73,11,FALSE)+VLOOKUP($B69,'АПП Баз'!$B$8:$X$73,23,FALSE))*1000</f>
        <v>0</v>
      </c>
      <c r="S69" s="264"/>
      <c r="T69" s="262"/>
      <c r="U69" s="268">
        <v>0</v>
      </c>
      <c r="V69" s="269">
        <v>0</v>
      </c>
      <c r="W69" s="268">
        <v>0</v>
      </c>
      <c r="X69" s="269">
        <v>0</v>
      </c>
      <c r="Y69" s="268">
        <v>0</v>
      </c>
      <c r="Z69" s="269">
        <v>0</v>
      </c>
      <c r="AA69" s="268">
        <v>0</v>
      </c>
      <c r="AB69" s="269">
        <v>0</v>
      </c>
      <c r="AC69" s="284"/>
      <c r="AD69" s="285"/>
      <c r="AE69" s="284"/>
      <c r="AF69" s="285"/>
      <c r="AG69" s="284"/>
      <c r="AH69" s="285"/>
      <c r="AI69" s="272">
        <f t="shared" si="4"/>
        <v>750</v>
      </c>
      <c r="AJ69" s="272">
        <f t="shared" ref="AJ69:AJ87" si="13">Q69+S69+U69+W69+Y69+AA69+AE69+AG69</f>
        <v>0</v>
      </c>
      <c r="AK69" s="273">
        <f t="shared" si="5"/>
        <v>0</v>
      </c>
      <c r="AL69" s="274">
        <f t="shared" si="5"/>
        <v>0</v>
      </c>
      <c r="AM69" s="275">
        <f t="shared" ref="AM69:AM87" si="14">R69+M69+O69+P69+T69+V69+X69+Z69+AB69+AD69+AF69+AH69</f>
        <v>993217.5</v>
      </c>
      <c r="AN69" s="276">
        <f t="shared" si="6"/>
        <v>993217.5</v>
      </c>
      <c r="AO69" s="277">
        <f t="shared" ref="AO69:AO87" si="15">AM69-P69</f>
        <v>993217.5</v>
      </c>
      <c r="AP69" s="331"/>
      <c r="AQ69" s="278">
        <f t="shared" si="7"/>
        <v>993217.5</v>
      </c>
      <c r="AR69" s="331">
        <f>IFERROR((VLOOKUP(B69,'АПП Баз'!$B$8:$Y$72,24,FALSE)*1000),0)</f>
        <v>869304.98</v>
      </c>
      <c r="AS69" s="334">
        <f t="shared" ref="AS69:AS87" si="16">AQ69-AR69</f>
        <v>123912.52000000002</v>
      </c>
    </row>
    <row r="70" spans="1:47" ht="15" customHeight="1" x14ac:dyDescent="0.25">
      <c r="A70" s="261">
        <v>67</v>
      </c>
      <c r="B70" s="5">
        <v>391310</v>
      </c>
      <c r="C70" s="6" t="s">
        <v>53</v>
      </c>
      <c r="D70" s="262"/>
      <c r="E70" s="263"/>
      <c r="F70" s="264"/>
      <c r="G70" s="262"/>
      <c r="H70" s="264"/>
      <c r="I70" s="262"/>
      <c r="J70" s="264"/>
      <c r="K70" s="262"/>
      <c r="L70" s="265">
        <v>100</v>
      </c>
      <c r="M70" s="266">
        <v>132429</v>
      </c>
      <c r="N70" s="264"/>
      <c r="O70" s="262"/>
      <c r="P70" s="267">
        <v>0</v>
      </c>
      <c r="Q70" s="494">
        <f>VLOOKUP($B70,'АПП Баз'!$B$8:$X$73,10,FALSE)+VLOOKUP($B70,'АПП Баз'!$B$8:$X$73,22,FALSE)</f>
        <v>1188</v>
      </c>
      <c r="R70" s="495">
        <f>(VLOOKUP($B70,'АПП Баз'!$B$8:$X$73,11,FALSE)+VLOOKUP($B70,'АПП Баз'!$B$8:$X$73,23,FALSE))*1000</f>
        <v>392503.32</v>
      </c>
      <c r="S70" s="264"/>
      <c r="T70" s="262"/>
      <c r="U70" s="268">
        <v>0</v>
      </c>
      <c r="V70" s="269">
        <v>0</v>
      </c>
      <c r="W70" s="268">
        <v>0</v>
      </c>
      <c r="X70" s="269">
        <v>0</v>
      </c>
      <c r="Y70" s="268">
        <v>0</v>
      </c>
      <c r="Z70" s="269">
        <v>0</v>
      </c>
      <c r="AA70" s="268">
        <v>0</v>
      </c>
      <c r="AB70" s="269">
        <v>0</v>
      </c>
      <c r="AC70" s="284"/>
      <c r="AD70" s="285"/>
      <c r="AE70" s="284"/>
      <c r="AF70" s="285"/>
      <c r="AG70" s="284"/>
      <c r="AH70" s="285"/>
      <c r="AI70" s="272">
        <f t="shared" ref="AI70:AI87" si="17">L70+N70</f>
        <v>100</v>
      </c>
      <c r="AJ70" s="272">
        <f t="shared" si="13"/>
        <v>1188</v>
      </c>
      <c r="AK70" s="273">
        <f t="shared" ref="AK70:AL87" si="18">U70+Y70+AA70</f>
        <v>0</v>
      </c>
      <c r="AL70" s="274">
        <f t="shared" si="18"/>
        <v>0</v>
      </c>
      <c r="AM70" s="275">
        <f t="shared" si="14"/>
        <v>524932.32000000007</v>
      </c>
      <c r="AN70" s="276">
        <f t="shared" ref="AN70:AN87" si="19">D70+E70+AM70</f>
        <v>524932.32000000007</v>
      </c>
      <c r="AO70" s="277">
        <f t="shared" si="15"/>
        <v>524932.32000000007</v>
      </c>
      <c r="AP70" s="331"/>
      <c r="AQ70" s="278">
        <f t="shared" ref="AQ70:AQ87" si="20">AN70-AH70-AF70-AD70</f>
        <v>524932.32000000007</v>
      </c>
      <c r="AR70" s="331">
        <f>IFERROR((VLOOKUP(B70,'АПП Баз'!$B$8:$Y$72,24,FALSE)*1000),0)</f>
        <v>392503.32</v>
      </c>
      <c r="AS70" s="334">
        <f t="shared" si="16"/>
        <v>132429.00000000006</v>
      </c>
    </row>
    <row r="71" spans="1:47" ht="15" customHeight="1" x14ac:dyDescent="0.25">
      <c r="A71" s="261">
        <v>68</v>
      </c>
      <c r="B71" s="5">
        <v>391930</v>
      </c>
      <c r="C71" s="6" t="s">
        <v>198</v>
      </c>
      <c r="D71" s="262"/>
      <c r="E71" s="263"/>
      <c r="F71" s="264"/>
      <c r="G71" s="262"/>
      <c r="H71" s="264"/>
      <c r="I71" s="262"/>
      <c r="J71" s="264"/>
      <c r="K71" s="262"/>
      <c r="L71" s="265">
        <v>0</v>
      </c>
      <c r="M71" s="266">
        <v>0</v>
      </c>
      <c r="N71" s="264"/>
      <c r="O71" s="262"/>
      <c r="P71" s="267">
        <v>0</v>
      </c>
      <c r="Q71" s="494">
        <f>VLOOKUP($B71,'АПП Баз'!$B$8:$X$73,10,FALSE)+VLOOKUP($B71,'АПП Баз'!$B$8:$X$73,22,FALSE)</f>
        <v>0</v>
      </c>
      <c r="R71" s="495">
        <f>(VLOOKUP($B71,'АПП Баз'!$B$8:$X$73,11,FALSE)+VLOOKUP($B71,'АПП Баз'!$B$8:$X$73,23,FALSE))*1000</f>
        <v>0</v>
      </c>
      <c r="S71" s="264"/>
      <c r="T71" s="262"/>
      <c r="U71" s="268">
        <v>0</v>
      </c>
      <c r="V71" s="269">
        <v>0</v>
      </c>
      <c r="W71" s="268">
        <v>0</v>
      </c>
      <c r="X71" s="269">
        <v>0</v>
      </c>
      <c r="Y71" s="268">
        <v>0</v>
      </c>
      <c r="Z71" s="269">
        <v>0</v>
      </c>
      <c r="AA71" s="268">
        <v>0</v>
      </c>
      <c r="AB71" s="269">
        <v>0</v>
      </c>
      <c r="AC71" s="284"/>
      <c r="AD71" s="285"/>
      <c r="AE71" s="284"/>
      <c r="AF71" s="285"/>
      <c r="AG71" s="284"/>
      <c r="AH71" s="285"/>
      <c r="AI71" s="272">
        <f t="shared" si="17"/>
        <v>0</v>
      </c>
      <c r="AJ71" s="272">
        <f t="shared" si="13"/>
        <v>0</v>
      </c>
      <c r="AK71" s="273">
        <f t="shared" si="18"/>
        <v>0</v>
      </c>
      <c r="AL71" s="274">
        <f t="shared" si="18"/>
        <v>0</v>
      </c>
      <c r="AM71" s="275">
        <f t="shared" si="14"/>
        <v>0</v>
      </c>
      <c r="AN71" s="276">
        <f t="shared" si="19"/>
        <v>0</v>
      </c>
      <c r="AO71" s="277">
        <f t="shared" si="15"/>
        <v>0</v>
      </c>
      <c r="AP71" s="331"/>
      <c r="AQ71" s="278">
        <f t="shared" si="20"/>
        <v>0</v>
      </c>
      <c r="AR71" s="331">
        <f>IFERROR((VLOOKUP(B71,'АПП Баз'!$B$8:$Y$72,24,FALSE)*1000),0)</f>
        <v>2996157.9499999867</v>
      </c>
      <c r="AS71" s="334">
        <f t="shared" si="16"/>
        <v>-2996157.9499999867</v>
      </c>
    </row>
    <row r="72" spans="1:47" ht="15" customHeight="1" x14ac:dyDescent="0.25">
      <c r="A72" s="261">
        <v>69</v>
      </c>
      <c r="B72" s="5">
        <v>392630</v>
      </c>
      <c r="C72" s="6" t="s">
        <v>199</v>
      </c>
      <c r="D72" s="262"/>
      <c r="E72" s="263"/>
      <c r="F72" s="264"/>
      <c r="G72" s="262"/>
      <c r="H72" s="264"/>
      <c r="I72" s="262"/>
      <c r="J72" s="264"/>
      <c r="K72" s="262"/>
      <c r="L72" s="265">
        <v>50</v>
      </c>
      <c r="M72" s="266">
        <v>66214.5</v>
      </c>
      <c r="N72" s="264"/>
      <c r="O72" s="262"/>
      <c r="P72" s="267">
        <v>0</v>
      </c>
      <c r="Q72" s="494">
        <f>VLOOKUP($B72,'АПП Баз'!$B$8:$X$73,10,FALSE)+VLOOKUP($B72,'АПП Баз'!$B$8:$X$73,22,FALSE)</f>
        <v>0</v>
      </c>
      <c r="R72" s="495">
        <f>(VLOOKUP($B72,'АПП Баз'!$B$8:$X$73,11,FALSE)+VLOOKUP($B72,'АПП Баз'!$B$8:$X$73,23,FALSE))*1000</f>
        <v>0</v>
      </c>
      <c r="S72" s="264"/>
      <c r="T72" s="262"/>
      <c r="U72" s="268">
        <v>0</v>
      </c>
      <c r="V72" s="269">
        <v>0</v>
      </c>
      <c r="W72" s="268">
        <v>0</v>
      </c>
      <c r="X72" s="269">
        <v>0</v>
      </c>
      <c r="Y72" s="268">
        <v>0</v>
      </c>
      <c r="Z72" s="269">
        <v>0</v>
      </c>
      <c r="AA72" s="268">
        <v>0</v>
      </c>
      <c r="AB72" s="269">
        <v>0</v>
      </c>
      <c r="AC72" s="284"/>
      <c r="AD72" s="285"/>
      <c r="AE72" s="284"/>
      <c r="AF72" s="285"/>
      <c r="AG72" s="284"/>
      <c r="AH72" s="285"/>
      <c r="AI72" s="272">
        <f t="shared" si="17"/>
        <v>50</v>
      </c>
      <c r="AJ72" s="272">
        <f t="shared" si="13"/>
        <v>0</v>
      </c>
      <c r="AK72" s="273">
        <f t="shared" si="18"/>
        <v>0</v>
      </c>
      <c r="AL72" s="274">
        <f t="shared" si="18"/>
        <v>0</v>
      </c>
      <c r="AM72" s="275">
        <f t="shared" si="14"/>
        <v>66214.5</v>
      </c>
      <c r="AN72" s="276">
        <f t="shared" si="19"/>
        <v>66214.5</v>
      </c>
      <c r="AO72" s="277">
        <f t="shared" si="15"/>
        <v>66214.5</v>
      </c>
      <c r="AP72" s="331"/>
      <c r="AQ72" s="278">
        <f t="shared" si="20"/>
        <v>66214.5</v>
      </c>
      <c r="AR72" s="331">
        <f>IFERROR((VLOOKUP(B72,'АПП Баз'!$B$8:$Y$72,24,FALSE)*1000),0)</f>
        <v>0</v>
      </c>
      <c r="AS72" s="334">
        <f t="shared" si="16"/>
        <v>66214.5</v>
      </c>
    </row>
    <row r="73" spans="1:47" ht="15" customHeight="1" x14ac:dyDescent="0.25">
      <c r="A73" s="261">
        <v>70</v>
      </c>
      <c r="B73" s="5">
        <v>392750</v>
      </c>
      <c r="C73" s="6" t="s">
        <v>65</v>
      </c>
      <c r="D73" s="262"/>
      <c r="E73" s="263"/>
      <c r="F73" s="264"/>
      <c r="G73" s="262"/>
      <c r="H73" s="264"/>
      <c r="I73" s="262"/>
      <c r="J73" s="264"/>
      <c r="K73" s="262"/>
      <c r="L73" s="265">
        <v>50</v>
      </c>
      <c r="M73" s="266">
        <v>66214.5</v>
      </c>
      <c r="N73" s="264"/>
      <c r="O73" s="262"/>
      <c r="P73" s="267">
        <v>0</v>
      </c>
      <c r="Q73" s="494">
        <f>VLOOKUP($B73,'АПП Баз'!$B$8:$X$73,10,FALSE)+VLOOKUP($B73,'АПП Баз'!$B$8:$X$73,22,FALSE)</f>
        <v>0</v>
      </c>
      <c r="R73" s="495">
        <f>(VLOOKUP($B73,'АПП Баз'!$B$8:$X$73,11,FALSE)+VLOOKUP($B73,'АПП Баз'!$B$8:$X$73,23,FALSE))*1000</f>
        <v>0</v>
      </c>
      <c r="S73" s="264"/>
      <c r="T73" s="262"/>
      <c r="U73" s="268">
        <v>0</v>
      </c>
      <c r="V73" s="269">
        <v>0</v>
      </c>
      <c r="W73" s="268">
        <v>0</v>
      </c>
      <c r="X73" s="269">
        <v>0</v>
      </c>
      <c r="Y73" s="268">
        <v>0</v>
      </c>
      <c r="Z73" s="269">
        <v>0</v>
      </c>
      <c r="AA73" s="268">
        <v>0</v>
      </c>
      <c r="AB73" s="269">
        <v>0</v>
      </c>
      <c r="AC73" s="284"/>
      <c r="AD73" s="285"/>
      <c r="AE73" s="284"/>
      <c r="AF73" s="285"/>
      <c r="AG73" s="284"/>
      <c r="AH73" s="285"/>
      <c r="AI73" s="272">
        <f t="shared" si="17"/>
        <v>50</v>
      </c>
      <c r="AJ73" s="272">
        <f t="shared" si="13"/>
        <v>0</v>
      </c>
      <c r="AK73" s="273">
        <f t="shared" si="18"/>
        <v>0</v>
      </c>
      <c r="AL73" s="274">
        <f t="shared" si="18"/>
        <v>0</v>
      </c>
      <c r="AM73" s="275">
        <f t="shared" si="14"/>
        <v>66214.5</v>
      </c>
      <c r="AN73" s="276">
        <f t="shared" si="19"/>
        <v>66214.5</v>
      </c>
      <c r="AO73" s="277">
        <f t="shared" si="15"/>
        <v>66214.5</v>
      </c>
      <c r="AP73" s="331"/>
      <c r="AQ73" s="278">
        <f t="shared" si="20"/>
        <v>66214.5</v>
      </c>
      <c r="AR73" s="331">
        <f>IFERROR((VLOOKUP(B73,'АПП Баз'!$B$8:$Y$72,24,FALSE)*1000),0)</f>
        <v>0</v>
      </c>
      <c r="AS73" s="334">
        <f t="shared" si="16"/>
        <v>66214.5</v>
      </c>
    </row>
    <row r="74" spans="1:47" ht="15" customHeight="1" x14ac:dyDescent="0.25">
      <c r="A74" s="261">
        <v>71</v>
      </c>
      <c r="B74" s="5">
        <v>392830</v>
      </c>
      <c r="C74" s="6" t="s">
        <v>200</v>
      </c>
      <c r="D74" s="262"/>
      <c r="E74" s="263"/>
      <c r="F74" s="264"/>
      <c r="G74" s="262"/>
      <c r="H74" s="264"/>
      <c r="I74" s="262"/>
      <c r="J74" s="264"/>
      <c r="K74" s="262"/>
      <c r="L74" s="265">
        <v>0</v>
      </c>
      <c r="M74" s="266">
        <v>0</v>
      </c>
      <c r="N74" s="264"/>
      <c r="O74" s="262"/>
      <c r="P74" s="267">
        <v>0</v>
      </c>
      <c r="Q74" s="494">
        <f>VLOOKUP($B74,'АПП Баз'!$B$8:$X$73,10,FALSE)+VLOOKUP($B74,'АПП Баз'!$B$8:$X$73,22,FALSE)</f>
        <v>0</v>
      </c>
      <c r="R74" s="495">
        <f>(VLOOKUP($B74,'АПП Баз'!$B$8:$X$73,11,FALSE)+VLOOKUP($B74,'АПП Баз'!$B$8:$X$73,23,FALSE))*1000</f>
        <v>0</v>
      </c>
      <c r="S74" s="264"/>
      <c r="T74" s="262"/>
      <c r="U74" s="268">
        <v>0</v>
      </c>
      <c r="V74" s="269">
        <v>0</v>
      </c>
      <c r="W74" s="268">
        <v>0</v>
      </c>
      <c r="X74" s="269">
        <v>0</v>
      </c>
      <c r="Y74" s="268">
        <v>0</v>
      </c>
      <c r="Z74" s="269">
        <v>0</v>
      </c>
      <c r="AA74" s="268">
        <v>0</v>
      </c>
      <c r="AB74" s="269">
        <v>0</v>
      </c>
      <c r="AC74" s="284"/>
      <c r="AD74" s="285"/>
      <c r="AE74" s="284"/>
      <c r="AF74" s="285"/>
      <c r="AG74" s="284"/>
      <c r="AH74" s="285"/>
      <c r="AI74" s="272">
        <f t="shared" si="17"/>
        <v>0</v>
      </c>
      <c r="AJ74" s="272">
        <f t="shared" si="13"/>
        <v>0</v>
      </c>
      <c r="AK74" s="273">
        <f t="shared" si="18"/>
        <v>0</v>
      </c>
      <c r="AL74" s="274">
        <f t="shared" si="18"/>
        <v>0</v>
      </c>
      <c r="AM74" s="275">
        <f t="shared" si="14"/>
        <v>0</v>
      </c>
      <c r="AN74" s="276">
        <f t="shared" si="19"/>
        <v>0</v>
      </c>
      <c r="AO74" s="277">
        <f t="shared" si="15"/>
        <v>0</v>
      </c>
      <c r="AP74" s="331"/>
      <c r="AQ74" s="278">
        <f t="shared" si="20"/>
        <v>0</v>
      </c>
      <c r="AR74" s="331">
        <f>IFERROR((VLOOKUP(B74,'АПП Баз'!$B$8:$Y$72,24,FALSE)*1000),0)</f>
        <v>0</v>
      </c>
      <c r="AS74" s="334">
        <f t="shared" si="16"/>
        <v>0</v>
      </c>
    </row>
    <row r="75" spans="1:47" ht="15" customHeight="1" x14ac:dyDescent="0.25">
      <c r="A75" s="261">
        <v>72</v>
      </c>
      <c r="B75" s="437">
        <v>390008</v>
      </c>
      <c r="C75" s="6" t="s">
        <v>201</v>
      </c>
      <c r="D75" s="262"/>
      <c r="E75" s="263"/>
      <c r="F75" s="264"/>
      <c r="G75" s="262"/>
      <c r="H75" s="264"/>
      <c r="I75" s="262"/>
      <c r="J75" s="264"/>
      <c r="K75" s="262"/>
      <c r="L75" s="265">
        <v>0</v>
      </c>
      <c r="M75" s="266">
        <v>0</v>
      </c>
      <c r="N75" s="264"/>
      <c r="O75" s="262"/>
      <c r="P75" s="267">
        <v>0</v>
      </c>
      <c r="Q75" s="494">
        <f>VLOOKUP($B75,'АПП Баз'!$B$8:$X$73,10,FALSE)+VLOOKUP($B75,'АПП Баз'!$B$8:$X$73,22,FALSE)</f>
        <v>0</v>
      </c>
      <c r="R75" s="495">
        <f>(VLOOKUP($B75,'АПП Баз'!$B$8:$X$73,11,FALSE)+VLOOKUP($B75,'АПП Баз'!$B$8:$X$73,23,FALSE))*1000</f>
        <v>0</v>
      </c>
      <c r="S75" s="264"/>
      <c r="T75" s="262"/>
      <c r="U75" s="268">
        <v>0</v>
      </c>
      <c r="V75" s="269">
        <v>0</v>
      </c>
      <c r="W75" s="268">
        <v>0</v>
      </c>
      <c r="X75" s="269">
        <v>0</v>
      </c>
      <c r="Y75" s="268">
        <v>0</v>
      </c>
      <c r="Z75" s="269">
        <v>0</v>
      </c>
      <c r="AA75" s="268">
        <v>0</v>
      </c>
      <c r="AB75" s="269">
        <v>0</v>
      </c>
      <c r="AC75" s="284"/>
      <c r="AD75" s="285"/>
      <c r="AE75" s="284"/>
      <c r="AF75" s="285"/>
      <c r="AG75" s="284"/>
      <c r="AH75" s="285"/>
      <c r="AI75" s="272">
        <f t="shared" si="17"/>
        <v>0</v>
      </c>
      <c r="AJ75" s="272">
        <f t="shared" si="13"/>
        <v>0</v>
      </c>
      <c r="AK75" s="273">
        <f t="shared" si="18"/>
        <v>0</v>
      </c>
      <c r="AL75" s="274">
        <f t="shared" si="18"/>
        <v>0</v>
      </c>
      <c r="AM75" s="275">
        <f t="shared" si="14"/>
        <v>0</v>
      </c>
      <c r="AN75" s="276">
        <f t="shared" si="19"/>
        <v>0</v>
      </c>
      <c r="AO75" s="277">
        <f t="shared" si="15"/>
        <v>0</v>
      </c>
      <c r="AP75" s="331"/>
      <c r="AQ75" s="278">
        <f t="shared" si="20"/>
        <v>0</v>
      </c>
      <c r="AR75" s="331">
        <f>IFERROR((VLOOKUP(B75,'АПП Баз'!$B$8:$Y$72,24,FALSE)*1000),0)</f>
        <v>0</v>
      </c>
      <c r="AS75" s="334">
        <f t="shared" si="16"/>
        <v>0</v>
      </c>
    </row>
    <row r="76" spans="1:47" ht="15" customHeight="1" x14ac:dyDescent="0.25">
      <c r="A76" s="261">
        <v>73</v>
      </c>
      <c r="B76" s="5">
        <v>391960</v>
      </c>
      <c r="C76" s="6" t="s">
        <v>66</v>
      </c>
      <c r="D76" s="262"/>
      <c r="E76" s="263"/>
      <c r="F76" s="264"/>
      <c r="G76" s="262"/>
      <c r="H76" s="264"/>
      <c r="I76" s="262"/>
      <c r="J76" s="264"/>
      <c r="K76" s="262"/>
      <c r="L76" s="265">
        <v>0</v>
      </c>
      <c r="M76" s="266">
        <v>0</v>
      </c>
      <c r="N76" s="264"/>
      <c r="O76" s="262"/>
      <c r="P76" s="267">
        <v>0</v>
      </c>
      <c r="Q76" s="494">
        <f>VLOOKUP($B76,'АПП Баз'!$B$8:$X$73,10,FALSE)+VLOOKUP($B76,'АПП Баз'!$B$8:$X$73,22,FALSE)</f>
        <v>0</v>
      </c>
      <c r="R76" s="495">
        <f>(VLOOKUP($B76,'АПП Баз'!$B$8:$X$73,11,FALSE)+VLOOKUP($B76,'АПП Баз'!$B$8:$X$73,23,FALSE))*1000</f>
        <v>0</v>
      </c>
      <c r="S76" s="264"/>
      <c r="T76" s="262"/>
      <c r="U76" s="268">
        <v>0</v>
      </c>
      <c r="V76" s="269">
        <v>0</v>
      </c>
      <c r="W76" s="268">
        <v>0</v>
      </c>
      <c r="X76" s="269">
        <v>0</v>
      </c>
      <c r="Y76" s="268">
        <v>0</v>
      </c>
      <c r="Z76" s="269">
        <v>0</v>
      </c>
      <c r="AA76" s="268">
        <v>0</v>
      </c>
      <c r="AB76" s="269">
        <v>0</v>
      </c>
      <c r="AC76" s="284"/>
      <c r="AD76" s="285"/>
      <c r="AE76" s="284"/>
      <c r="AF76" s="285"/>
      <c r="AG76" s="284"/>
      <c r="AH76" s="285"/>
      <c r="AI76" s="272">
        <f t="shared" si="17"/>
        <v>0</v>
      </c>
      <c r="AJ76" s="272">
        <f t="shared" si="13"/>
        <v>0</v>
      </c>
      <c r="AK76" s="273">
        <f t="shared" si="18"/>
        <v>0</v>
      </c>
      <c r="AL76" s="274">
        <f t="shared" si="18"/>
        <v>0</v>
      </c>
      <c r="AM76" s="275">
        <f t="shared" si="14"/>
        <v>0</v>
      </c>
      <c r="AN76" s="276">
        <f t="shared" si="19"/>
        <v>0</v>
      </c>
      <c r="AO76" s="277">
        <f t="shared" si="15"/>
        <v>0</v>
      </c>
      <c r="AP76" s="331"/>
      <c r="AQ76" s="278">
        <f t="shared" si="20"/>
        <v>0</v>
      </c>
      <c r="AR76" s="331">
        <f>IFERROR((VLOOKUP(B76,'АПП Баз'!$B$8:$Y$72,24,FALSE)*1000),0)</f>
        <v>6855482.8399995491</v>
      </c>
      <c r="AS76" s="334">
        <f t="shared" si="16"/>
        <v>-6855482.8399995491</v>
      </c>
    </row>
    <row r="77" spans="1:47" ht="15" customHeight="1" x14ac:dyDescent="0.25">
      <c r="A77" s="261">
        <v>74</v>
      </c>
      <c r="B77" s="437">
        <v>390007</v>
      </c>
      <c r="C77" s="6" t="s">
        <v>202</v>
      </c>
      <c r="D77" s="262"/>
      <c r="E77" s="263"/>
      <c r="F77" s="264"/>
      <c r="G77" s="262"/>
      <c r="H77" s="264"/>
      <c r="I77" s="262"/>
      <c r="J77" s="264"/>
      <c r="K77" s="262"/>
      <c r="L77" s="265">
        <v>50</v>
      </c>
      <c r="M77" s="266">
        <v>66214.5</v>
      </c>
      <c r="N77" s="264"/>
      <c r="O77" s="262"/>
      <c r="P77" s="267">
        <v>0</v>
      </c>
      <c r="Q77" s="494">
        <f>VLOOKUP($B77,'АПП Баз'!$B$8:$X$73,10,FALSE)+VLOOKUP($B77,'АПП Баз'!$B$8:$X$73,22,FALSE)</f>
        <v>0</v>
      </c>
      <c r="R77" s="495">
        <f>(VLOOKUP($B77,'АПП Баз'!$B$8:$X$73,11,FALSE)+VLOOKUP($B77,'АПП Баз'!$B$8:$X$73,23,FALSE))*1000</f>
        <v>0</v>
      </c>
      <c r="S77" s="264"/>
      <c r="T77" s="262"/>
      <c r="U77" s="268">
        <v>0</v>
      </c>
      <c r="V77" s="269">
        <v>0</v>
      </c>
      <c r="W77" s="268">
        <v>0</v>
      </c>
      <c r="X77" s="269">
        <v>0</v>
      </c>
      <c r="Y77" s="268">
        <v>0</v>
      </c>
      <c r="Z77" s="269">
        <v>0</v>
      </c>
      <c r="AA77" s="268">
        <v>0</v>
      </c>
      <c r="AB77" s="269">
        <v>0</v>
      </c>
      <c r="AC77" s="284"/>
      <c r="AD77" s="285"/>
      <c r="AE77" s="284"/>
      <c r="AF77" s="285"/>
      <c r="AG77" s="284"/>
      <c r="AH77" s="285"/>
      <c r="AI77" s="272">
        <f>L77+N77</f>
        <v>50</v>
      </c>
      <c r="AJ77" s="272">
        <f t="shared" si="13"/>
        <v>0</v>
      </c>
      <c r="AK77" s="273">
        <f t="shared" si="18"/>
        <v>0</v>
      </c>
      <c r="AL77" s="274">
        <f t="shared" si="18"/>
        <v>0</v>
      </c>
      <c r="AM77" s="275">
        <f>R77+M77+O77+P77+T77+V77+X77+Z77+AB77+AD77+AF77+AH77</f>
        <v>66214.5</v>
      </c>
      <c r="AN77" s="276">
        <f t="shared" si="19"/>
        <v>66214.5</v>
      </c>
      <c r="AO77" s="277">
        <f t="shared" si="15"/>
        <v>66214.5</v>
      </c>
      <c r="AP77" s="331"/>
      <c r="AQ77" s="278">
        <f>AN77-AH77-AF77-AD77</f>
        <v>66214.5</v>
      </c>
      <c r="AR77" s="331">
        <f>IFERROR((VLOOKUP(B77,'АПП Баз'!$B$8:$Y$72,24,FALSE)*1000),0)</f>
        <v>29896.94</v>
      </c>
      <c r="AS77" s="334">
        <f t="shared" si="16"/>
        <v>36317.56</v>
      </c>
    </row>
    <row r="78" spans="1:47" ht="15" customHeight="1" x14ac:dyDescent="0.25">
      <c r="A78" s="261">
        <v>75</v>
      </c>
      <c r="B78" s="5">
        <v>391370</v>
      </c>
      <c r="C78" s="6" t="s">
        <v>73</v>
      </c>
      <c r="D78" s="262"/>
      <c r="E78" s="263"/>
      <c r="F78" s="264"/>
      <c r="G78" s="262"/>
      <c r="H78" s="264"/>
      <c r="I78" s="262"/>
      <c r="J78" s="264"/>
      <c r="K78" s="262"/>
      <c r="L78" s="265">
        <v>0</v>
      </c>
      <c r="M78" s="266">
        <v>0</v>
      </c>
      <c r="N78" s="264"/>
      <c r="O78" s="262"/>
      <c r="P78" s="267">
        <v>0</v>
      </c>
      <c r="Q78" s="494">
        <f>VLOOKUP($B78,'АПП Баз'!$B$8:$X$73,10,FALSE)+VLOOKUP($B78,'АПП Баз'!$B$8:$X$73,22,FALSE)</f>
        <v>0</v>
      </c>
      <c r="R78" s="495">
        <f>(VLOOKUP($B78,'АПП Баз'!$B$8:$X$73,11,FALSE)+VLOOKUP($B78,'АПП Баз'!$B$8:$X$73,23,FALSE))*1000</f>
        <v>0</v>
      </c>
      <c r="S78" s="264"/>
      <c r="T78" s="262"/>
      <c r="U78" s="268">
        <v>0</v>
      </c>
      <c r="V78" s="269">
        <v>0</v>
      </c>
      <c r="W78" s="268">
        <v>0</v>
      </c>
      <c r="X78" s="269">
        <v>0</v>
      </c>
      <c r="Y78" s="268">
        <v>0</v>
      </c>
      <c r="Z78" s="269">
        <v>0</v>
      </c>
      <c r="AA78" s="268">
        <v>0</v>
      </c>
      <c r="AB78" s="269">
        <v>0</v>
      </c>
      <c r="AC78" s="284"/>
      <c r="AD78" s="285"/>
      <c r="AE78" s="284"/>
      <c r="AF78" s="285"/>
      <c r="AG78" s="284"/>
      <c r="AH78" s="285"/>
      <c r="AI78" s="272">
        <f t="shared" si="17"/>
        <v>0</v>
      </c>
      <c r="AJ78" s="272">
        <f t="shared" si="13"/>
        <v>0</v>
      </c>
      <c r="AK78" s="273">
        <f t="shared" si="18"/>
        <v>0</v>
      </c>
      <c r="AL78" s="274">
        <f t="shared" si="18"/>
        <v>0</v>
      </c>
      <c r="AM78" s="275">
        <f t="shared" si="14"/>
        <v>0</v>
      </c>
      <c r="AN78" s="276">
        <f t="shared" si="19"/>
        <v>0</v>
      </c>
      <c r="AO78" s="277">
        <f t="shared" si="15"/>
        <v>0</v>
      </c>
      <c r="AP78" s="331"/>
      <c r="AQ78" s="278">
        <f t="shared" si="20"/>
        <v>0</v>
      </c>
      <c r="AR78" s="331">
        <f>IFERROR((VLOOKUP(B78,'АПП Баз'!$B$8:$Y$72,24,FALSE)*1000),0)</f>
        <v>2571850.42</v>
      </c>
      <c r="AS78" s="334">
        <f t="shared" si="16"/>
        <v>-2571850.42</v>
      </c>
    </row>
    <row r="79" spans="1:47" ht="15" customHeight="1" x14ac:dyDescent="0.25">
      <c r="A79" s="261">
        <v>76</v>
      </c>
      <c r="B79" s="5">
        <v>392470</v>
      </c>
      <c r="C79" s="6" t="s">
        <v>67</v>
      </c>
      <c r="D79" s="262"/>
      <c r="E79" s="263"/>
      <c r="F79" s="264"/>
      <c r="G79" s="262"/>
      <c r="H79" s="264"/>
      <c r="I79" s="262"/>
      <c r="J79" s="264"/>
      <c r="K79" s="262"/>
      <c r="L79" s="265">
        <v>0</v>
      </c>
      <c r="M79" s="266">
        <v>0</v>
      </c>
      <c r="N79" s="264"/>
      <c r="O79" s="262"/>
      <c r="P79" s="267">
        <v>0</v>
      </c>
      <c r="Q79" s="494">
        <f>VLOOKUP($B79,'АПП Баз'!$B$8:$X$73,10,FALSE)+VLOOKUP($B79,'АПП Баз'!$B$8:$X$73,22,FALSE)</f>
        <v>0</v>
      </c>
      <c r="R79" s="495">
        <f>(VLOOKUP($B79,'АПП Баз'!$B$8:$X$73,11,FALSE)+VLOOKUP($B79,'АПП Баз'!$B$8:$X$73,23,FALSE))*1000</f>
        <v>0</v>
      </c>
      <c r="S79" s="264"/>
      <c r="T79" s="262"/>
      <c r="U79" s="268">
        <v>0</v>
      </c>
      <c r="V79" s="269">
        <v>0</v>
      </c>
      <c r="W79" s="268">
        <v>0</v>
      </c>
      <c r="X79" s="269">
        <v>0</v>
      </c>
      <c r="Y79" s="268">
        <v>0</v>
      </c>
      <c r="Z79" s="269">
        <v>0</v>
      </c>
      <c r="AA79" s="268">
        <v>0</v>
      </c>
      <c r="AB79" s="269">
        <v>0</v>
      </c>
      <c r="AC79" s="284"/>
      <c r="AD79" s="285"/>
      <c r="AE79" s="284"/>
      <c r="AF79" s="285"/>
      <c r="AG79" s="284"/>
      <c r="AH79" s="285"/>
      <c r="AI79" s="272">
        <f t="shared" si="17"/>
        <v>0</v>
      </c>
      <c r="AJ79" s="272">
        <f t="shared" si="13"/>
        <v>0</v>
      </c>
      <c r="AK79" s="273">
        <f t="shared" si="18"/>
        <v>0</v>
      </c>
      <c r="AL79" s="274">
        <f t="shared" si="18"/>
        <v>0</v>
      </c>
      <c r="AM79" s="275">
        <f t="shared" si="14"/>
        <v>0</v>
      </c>
      <c r="AN79" s="276">
        <f t="shared" si="19"/>
        <v>0</v>
      </c>
      <c r="AO79" s="277">
        <f t="shared" si="15"/>
        <v>0</v>
      </c>
      <c r="AP79" s="331"/>
      <c r="AQ79" s="278">
        <f t="shared" si="20"/>
        <v>0</v>
      </c>
      <c r="AR79" s="331">
        <f>IFERROR((VLOOKUP(B79,'АПП Баз'!$B$8:$Y$72,24,FALSE)*1000),0)</f>
        <v>0</v>
      </c>
      <c r="AS79" s="334">
        <f t="shared" si="16"/>
        <v>0</v>
      </c>
    </row>
    <row r="80" spans="1:47" ht="15" customHeight="1" x14ac:dyDescent="0.25">
      <c r="A80" s="261">
        <v>77</v>
      </c>
      <c r="B80" s="5">
        <v>391970</v>
      </c>
      <c r="C80" s="6" t="s">
        <v>203</v>
      </c>
      <c r="D80" s="262"/>
      <c r="E80" s="263"/>
      <c r="F80" s="264"/>
      <c r="G80" s="262"/>
      <c r="H80" s="264"/>
      <c r="I80" s="262"/>
      <c r="J80" s="264"/>
      <c r="K80" s="262"/>
      <c r="L80" s="265">
        <v>0</v>
      </c>
      <c r="M80" s="266">
        <v>0</v>
      </c>
      <c r="N80" s="264"/>
      <c r="O80" s="262"/>
      <c r="P80" s="267">
        <v>0</v>
      </c>
      <c r="Q80" s="494">
        <f>VLOOKUP($B80,'АПП Баз'!$B$8:$X$73,10,FALSE)+VLOOKUP($B80,'АПП Баз'!$B$8:$X$73,22,FALSE)</f>
        <v>0</v>
      </c>
      <c r="R80" s="495">
        <f>(VLOOKUP($B80,'АПП Баз'!$B$8:$X$73,11,FALSE)+VLOOKUP($B80,'АПП Баз'!$B$8:$X$73,23,FALSE))*1000</f>
        <v>0</v>
      </c>
      <c r="S80" s="264"/>
      <c r="T80" s="262"/>
      <c r="U80" s="268">
        <v>0</v>
      </c>
      <c r="V80" s="269">
        <v>0</v>
      </c>
      <c r="W80" s="268">
        <v>0</v>
      </c>
      <c r="X80" s="269">
        <v>0</v>
      </c>
      <c r="Y80" s="268">
        <v>0</v>
      </c>
      <c r="Z80" s="269">
        <v>0</v>
      </c>
      <c r="AA80" s="268">
        <v>0</v>
      </c>
      <c r="AB80" s="269">
        <v>0</v>
      </c>
      <c r="AC80" s="284"/>
      <c r="AD80" s="285"/>
      <c r="AE80" s="284"/>
      <c r="AF80" s="285"/>
      <c r="AG80" s="284"/>
      <c r="AH80" s="285"/>
      <c r="AI80" s="272">
        <f t="shared" si="17"/>
        <v>0</v>
      </c>
      <c r="AJ80" s="272">
        <f t="shared" si="13"/>
        <v>0</v>
      </c>
      <c r="AK80" s="273">
        <f t="shared" si="18"/>
        <v>0</v>
      </c>
      <c r="AL80" s="274">
        <f t="shared" si="18"/>
        <v>0</v>
      </c>
      <c r="AM80" s="275">
        <f t="shared" si="14"/>
        <v>0</v>
      </c>
      <c r="AN80" s="276">
        <f t="shared" si="19"/>
        <v>0</v>
      </c>
      <c r="AO80" s="277">
        <f t="shared" si="15"/>
        <v>0</v>
      </c>
      <c r="AP80" s="331"/>
      <c r="AQ80" s="278">
        <f t="shared" si="20"/>
        <v>0</v>
      </c>
      <c r="AR80" s="331">
        <f>IFERROR((VLOOKUP(B80,'АПП Баз'!$B$8:$Y$72,24,FALSE)*1000),0)</f>
        <v>4487984.13</v>
      </c>
      <c r="AS80" s="334">
        <f t="shared" si="16"/>
        <v>-4487984.13</v>
      </c>
    </row>
    <row r="81" spans="1:47" ht="15" customHeight="1" x14ac:dyDescent="0.25">
      <c r="A81" s="261">
        <v>78</v>
      </c>
      <c r="B81" s="5">
        <v>392720</v>
      </c>
      <c r="C81" s="6" t="s">
        <v>69</v>
      </c>
      <c r="D81" s="262"/>
      <c r="E81" s="263"/>
      <c r="F81" s="264"/>
      <c r="G81" s="262"/>
      <c r="H81" s="264"/>
      <c r="I81" s="262"/>
      <c r="J81" s="264"/>
      <c r="K81" s="262"/>
      <c r="L81" s="265">
        <v>0</v>
      </c>
      <c r="M81" s="266">
        <v>0</v>
      </c>
      <c r="N81" s="264"/>
      <c r="O81" s="262"/>
      <c r="P81" s="267">
        <v>0</v>
      </c>
      <c r="Q81" s="494">
        <f>VLOOKUP($B81,'АПП Баз'!$B$8:$X$73,10,FALSE)+VLOOKUP($B81,'АПП Баз'!$B$8:$X$73,22,FALSE)</f>
        <v>0</v>
      </c>
      <c r="R81" s="495">
        <f>(VLOOKUP($B81,'АПП Баз'!$B$8:$X$73,11,FALSE)+VLOOKUP($B81,'АПП Баз'!$B$8:$X$73,23,FALSE))*1000</f>
        <v>0</v>
      </c>
      <c r="S81" s="264"/>
      <c r="T81" s="262"/>
      <c r="U81" s="268">
        <v>0</v>
      </c>
      <c r="V81" s="269">
        <v>0</v>
      </c>
      <c r="W81" s="268">
        <v>0</v>
      </c>
      <c r="X81" s="269">
        <v>0</v>
      </c>
      <c r="Y81" s="268">
        <v>0</v>
      </c>
      <c r="Z81" s="269">
        <v>0</v>
      </c>
      <c r="AA81" s="268">
        <v>0</v>
      </c>
      <c r="AB81" s="269">
        <v>0</v>
      </c>
      <c r="AC81" s="284"/>
      <c r="AD81" s="285"/>
      <c r="AE81" s="284"/>
      <c r="AF81" s="285"/>
      <c r="AG81" s="284"/>
      <c r="AH81" s="285"/>
      <c r="AI81" s="272">
        <f t="shared" si="17"/>
        <v>0</v>
      </c>
      <c r="AJ81" s="272">
        <f t="shared" si="13"/>
        <v>0</v>
      </c>
      <c r="AK81" s="273">
        <f t="shared" si="18"/>
        <v>0</v>
      </c>
      <c r="AL81" s="274">
        <f t="shared" si="18"/>
        <v>0</v>
      </c>
      <c r="AM81" s="275">
        <f t="shared" si="14"/>
        <v>0</v>
      </c>
      <c r="AN81" s="276">
        <f t="shared" si="19"/>
        <v>0</v>
      </c>
      <c r="AO81" s="277">
        <f t="shared" si="15"/>
        <v>0</v>
      </c>
      <c r="AP81" s="331"/>
      <c r="AQ81" s="278">
        <f t="shared" si="20"/>
        <v>0</v>
      </c>
      <c r="AR81" s="331">
        <f>IFERROR((VLOOKUP(B81,'АПП Баз'!$B$8:$Y$72,24,FALSE)*1000),0)</f>
        <v>0</v>
      </c>
      <c r="AS81" s="334">
        <f t="shared" si="16"/>
        <v>0</v>
      </c>
    </row>
    <row r="82" spans="1:47" ht="15" customHeight="1" x14ac:dyDescent="0.25">
      <c r="A82" s="261">
        <v>79</v>
      </c>
      <c r="B82" s="5">
        <v>392050</v>
      </c>
      <c r="C82" s="6" t="s">
        <v>204</v>
      </c>
      <c r="D82" s="262"/>
      <c r="E82" s="263"/>
      <c r="F82" s="264"/>
      <c r="G82" s="262"/>
      <c r="H82" s="264"/>
      <c r="I82" s="262"/>
      <c r="J82" s="264"/>
      <c r="K82" s="262"/>
      <c r="L82" s="265">
        <v>0</v>
      </c>
      <c r="M82" s="266">
        <v>0</v>
      </c>
      <c r="N82" s="264"/>
      <c r="O82" s="262"/>
      <c r="P82" s="267">
        <v>21700</v>
      </c>
      <c r="Q82" s="494">
        <f>VLOOKUP($B82,'АПП Баз'!$B$8:$X$73,10,FALSE)+VLOOKUP($B82,'АПП Баз'!$B$8:$X$73,22,FALSE)</f>
        <v>0</v>
      </c>
      <c r="R82" s="495">
        <f>(VLOOKUP($B82,'АПП Баз'!$B$8:$X$73,11,FALSE)+VLOOKUP($B82,'АПП Баз'!$B$8:$X$73,23,FALSE))*1000</f>
        <v>0</v>
      </c>
      <c r="S82" s="264"/>
      <c r="T82" s="262"/>
      <c r="U82" s="268">
        <v>0</v>
      </c>
      <c r="V82" s="269">
        <v>0</v>
      </c>
      <c r="W82" s="268">
        <v>0</v>
      </c>
      <c r="X82" s="269">
        <v>0</v>
      </c>
      <c r="Y82" s="268">
        <v>0</v>
      </c>
      <c r="Z82" s="269">
        <v>0</v>
      </c>
      <c r="AA82" s="268">
        <v>0</v>
      </c>
      <c r="AB82" s="269">
        <v>0</v>
      </c>
      <c r="AC82" s="284"/>
      <c r="AD82" s="285"/>
      <c r="AE82" s="284"/>
      <c r="AF82" s="285"/>
      <c r="AG82" s="284"/>
      <c r="AH82" s="285"/>
      <c r="AI82" s="272">
        <f t="shared" si="17"/>
        <v>0</v>
      </c>
      <c r="AJ82" s="272">
        <f t="shared" si="13"/>
        <v>0</v>
      </c>
      <c r="AK82" s="273">
        <f t="shared" si="18"/>
        <v>0</v>
      </c>
      <c r="AL82" s="274">
        <f t="shared" si="18"/>
        <v>0</v>
      </c>
      <c r="AM82" s="275">
        <f t="shared" si="14"/>
        <v>21700</v>
      </c>
      <c r="AN82" s="276">
        <f t="shared" si="19"/>
        <v>21700</v>
      </c>
      <c r="AO82" s="277">
        <f t="shared" si="15"/>
        <v>0</v>
      </c>
      <c r="AP82" s="331"/>
      <c r="AQ82" s="278">
        <f t="shared" si="20"/>
        <v>21700</v>
      </c>
      <c r="AR82" s="331">
        <f>IFERROR((VLOOKUP(B82,'АПП Баз'!$B$8:$Y$72,24,FALSE)*1000),0)</f>
        <v>0</v>
      </c>
      <c r="AS82" s="334">
        <f t="shared" si="16"/>
        <v>21700</v>
      </c>
    </row>
    <row r="83" spans="1:47" ht="15" customHeight="1" x14ac:dyDescent="0.25">
      <c r="A83" s="261">
        <v>80</v>
      </c>
      <c r="B83" s="5">
        <v>391840</v>
      </c>
      <c r="C83" s="6" t="s">
        <v>205</v>
      </c>
      <c r="D83" s="262"/>
      <c r="E83" s="263"/>
      <c r="F83" s="264"/>
      <c r="G83" s="262"/>
      <c r="H83" s="264"/>
      <c r="I83" s="262"/>
      <c r="J83" s="264"/>
      <c r="K83" s="262"/>
      <c r="L83" s="265">
        <v>0</v>
      </c>
      <c r="M83" s="266">
        <v>0</v>
      </c>
      <c r="N83" s="264"/>
      <c r="O83" s="262"/>
      <c r="P83" s="267">
        <v>0</v>
      </c>
      <c r="Q83" s="494">
        <f>VLOOKUP($B83,'АПП Баз'!$B$8:$X$73,10,FALSE)+VLOOKUP($B83,'АПП Баз'!$B$8:$X$73,22,FALSE)</f>
        <v>0</v>
      </c>
      <c r="R83" s="495">
        <f>(VLOOKUP($B83,'АПП Баз'!$B$8:$X$73,11,FALSE)+VLOOKUP($B83,'АПП Баз'!$B$8:$X$73,23,FALSE))*1000</f>
        <v>0</v>
      </c>
      <c r="S83" s="96">
        <v>100</v>
      </c>
      <c r="T83" s="97">
        <v>1998965.34</v>
      </c>
      <c r="U83" s="268">
        <v>0</v>
      </c>
      <c r="V83" s="269">
        <v>0</v>
      </c>
      <c r="W83" s="268">
        <v>0</v>
      </c>
      <c r="X83" s="269">
        <v>0</v>
      </c>
      <c r="Y83" s="268">
        <v>0</v>
      </c>
      <c r="Z83" s="269">
        <v>0</v>
      </c>
      <c r="AA83" s="268">
        <v>0</v>
      </c>
      <c r="AB83" s="269">
        <v>0</v>
      </c>
      <c r="AC83" s="284"/>
      <c r="AD83" s="285"/>
      <c r="AE83" s="284"/>
      <c r="AF83" s="285"/>
      <c r="AG83" s="284"/>
      <c r="AH83" s="285"/>
      <c r="AI83" s="272">
        <f t="shared" si="17"/>
        <v>0</v>
      </c>
      <c r="AJ83" s="272">
        <f t="shared" si="13"/>
        <v>100</v>
      </c>
      <c r="AK83" s="273">
        <f t="shared" si="18"/>
        <v>0</v>
      </c>
      <c r="AL83" s="274">
        <f t="shared" si="18"/>
        <v>0</v>
      </c>
      <c r="AM83" s="275">
        <f t="shared" si="14"/>
        <v>1998965.34</v>
      </c>
      <c r="AN83" s="276">
        <f t="shared" si="19"/>
        <v>1998965.34</v>
      </c>
      <c r="AO83" s="277">
        <f t="shared" si="15"/>
        <v>1998965.34</v>
      </c>
      <c r="AP83" s="331"/>
      <c r="AQ83" s="278">
        <f t="shared" si="20"/>
        <v>1998965.34</v>
      </c>
      <c r="AR83" s="331">
        <f>IFERROR((VLOOKUP(B83,'АПП Баз'!$B$8:$Y$72,24,FALSE)*1000),0)</f>
        <v>0</v>
      </c>
      <c r="AS83" s="334">
        <f t="shared" si="16"/>
        <v>1998965.34</v>
      </c>
    </row>
    <row r="84" spans="1:47" ht="15" customHeight="1" x14ac:dyDescent="0.25">
      <c r="A84" s="261">
        <v>81</v>
      </c>
      <c r="B84" s="437">
        <v>390002</v>
      </c>
      <c r="C84" s="6" t="s">
        <v>263</v>
      </c>
      <c r="D84" s="262"/>
      <c r="E84" s="263"/>
      <c r="F84" s="264"/>
      <c r="G84" s="262"/>
      <c r="H84" s="264"/>
      <c r="I84" s="262"/>
      <c r="J84" s="264"/>
      <c r="K84" s="262"/>
      <c r="L84" s="265">
        <v>50</v>
      </c>
      <c r="M84" s="266">
        <v>66214.5</v>
      </c>
      <c r="N84" s="264"/>
      <c r="O84" s="262"/>
      <c r="P84" s="267">
        <v>0</v>
      </c>
      <c r="Q84" s="494">
        <f>VLOOKUP($B84,'АПП Баз'!$B$8:$X$73,10,FALSE)+VLOOKUP($B84,'АПП Баз'!$B$8:$X$73,22,FALSE)</f>
        <v>0</v>
      </c>
      <c r="R84" s="495">
        <f>(VLOOKUP($B84,'АПП Баз'!$B$8:$X$73,11,FALSE)+VLOOKUP($B84,'АПП Баз'!$B$8:$X$73,23,FALSE))*1000</f>
        <v>0</v>
      </c>
      <c r="S84" s="264"/>
      <c r="T84" s="262"/>
      <c r="U84" s="268">
        <v>0</v>
      </c>
      <c r="V84" s="269">
        <v>0</v>
      </c>
      <c r="W84" s="268">
        <v>0</v>
      </c>
      <c r="X84" s="269">
        <v>0</v>
      </c>
      <c r="Y84" s="268">
        <v>0</v>
      </c>
      <c r="Z84" s="269">
        <v>0</v>
      </c>
      <c r="AA84" s="268">
        <v>0</v>
      </c>
      <c r="AB84" s="269">
        <v>0</v>
      </c>
      <c r="AC84" s="284"/>
      <c r="AD84" s="285"/>
      <c r="AE84" s="284"/>
      <c r="AF84" s="285"/>
      <c r="AG84" s="284"/>
      <c r="AH84" s="285"/>
      <c r="AI84" s="272">
        <f t="shared" si="17"/>
        <v>50</v>
      </c>
      <c r="AJ84" s="272">
        <f t="shared" si="13"/>
        <v>0</v>
      </c>
      <c r="AK84" s="273">
        <f t="shared" si="18"/>
        <v>0</v>
      </c>
      <c r="AL84" s="274">
        <f t="shared" si="18"/>
        <v>0</v>
      </c>
      <c r="AM84" s="275">
        <f t="shared" si="14"/>
        <v>66214.5</v>
      </c>
      <c r="AN84" s="276">
        <f t="shared" si="19"/>
        <v>66214.5</v>
      </c>
      <c r="AO84" s="277">
        <f t="shared" si="15"/>
        <v>66214.5</v>
      </c>
      <c r="AP84" s="331"/>
      <c r="AQ84" s="278">
        <f t="shared" si="20"/>
        <v>66214.5</v>
      </c>
      <c r="AR84" s="331">
        <f>IFERROR((VLOOKUP(B84,'АПП Баз'!$B$8:$Y$72,24,FALSE)*1000),0)</f>
        <v>0</v>
      </c>
      <c r="AS84" s="334">
        <f t="shared" si="16"/>
        <v>66214.5</v>
      </c>
    </row>
    <row r="85" spans="1:47" ht="15" customHeight="1" x14ac:dyDescent="0.25">
      <c r="A85" s="261">
        <v>82</v>
      </c>
      <c r="B85" s="5">
        <v>392580</v>
      </c>
      <c r="C85" s="6" t="s">
        <v>71</v>
      </c>
      <c r="D85" s="262"/>
      <c r="E85" s="263"/>
      <c r="F85" s="264"/>
      <c r="G85" s="262"/>
      <c r="H85" s="264"/>
      <c r="I85" s="262"/>
      <c r="J85" s="264"/>
      <c r="K85" s="262"/>
      <c r="L85" s="265">
        <v>0</v>
      </c>
      <c r="M85" s="266">
        <v>0</v>
      </c>
      <c r="N85" s="264"/>
      <c r="O85" s="262"/>
      <c r="P85" s="267">
        <v>0</v>
      </c>
      <c r="Q85" s="494">
        <f>VLOOKUP($B85,'АПП Баз'!$B$8:$X$73,10,FALSE)+VLOOKUP($B85,'АПП Баз'!$B$8:$X$73,22,FALSE)</f>
        <v>0</v>
      </c>
      <c r="R85" s="495">
        <f>(VLOOKUP($B85,'АПП Баз'!$B$8:$X$73,11,FALSE)+VLOOKUP($B85,'АПП Баз'!$B$8:$X$73,23,FALSE))*1000</f>
        <v>0</v>
      </c>
      <c r="S85" s="264"/>
      <c r="T85" s="262"/>
      <c r="U85" s="268">
        <v>0</v>
      </c>
      <c r="V85" s="269">
        <v>0</v>
      </c>
      <c r="W85" s="268">
        <v>0</v>
      </c>
      <c r="X85" s="269">
        <v>0</v>
      </c>
      <c r="Y85" s="268">
        <v>0</v>
      </c>
      <c r="Z85" s="269">
        <v>0</v>
      </c>
      <c r="AA85" s="268">
        <v>0</v>
      </c>
      <c r="AB85" s="269">
        <v>0</v>
      </c>
      <c r="AC85" s="284"/>
      <c r="AD85" s="285"/>
      <c r="AE85" s="284"/>
      <c r="AF85" s="285"/>
      <c r="AG85" s="284"/>
      <c r="AH85" s="285"/>
      <c r="AI85" s="272">
        <f t="shared" si="17"/>
        <v>0</v>
      </c>
      <c r="AJ85" s="272">
        <f t="shared" si="13"/>
        <v>0</v>
      </c>
      <c r="AK85" s="273">
        <f t="shared" si="18"/>
        <v>0</v>
      </c>
      <c r="AL85" s="274">
        <f t="shared" si="18"/>
        <v>0</v>
      </c>
      <c r="AM85" s="275">
        <f t="shared" si="14"/>
        <v>0</v>
      </c>
      <c r="AN85" s="276">
        <f t="shared" si="19"/>
        <v>0</v>
      </c>
      <c r="AO85" s="277">
        <f t="shared" si="15"/>
        <v>0</v>
      </c>
      <c r="AP85" s="331"/>
      <c r="AQ85" s="278">
        <f t="shared" si="20"/>
        <v>0</v>
      </c>
      <c r="AR85" s="331">
        <f>IFERROR((VLOOKUP(B85,'АПП Баз'!$B$8:$Y$72,24,FALSE)*1000),0)</f>
        <v>188049.45</v>
      </c>
      <c r="AS85" s="334">
        <f t="shared" si="16"/>
        <v>-188049.45</v>
      </c>
    </row>
    <row r="86" spans="1:47" ht="15" customHeight="1" x14ac:dyDescent="0.25">
      <c r="A86" s="261">
        <v>83</v>
      </c>
      <c r="B86" s="437">
        <v>390001</v>
      </c>
      <c r="C86" s="6" t="s">
        <v>207</v>
      </c>
      <c r="D86" s="262"/>
      <c r="E86" s="263"/>
      <c r="F86" s="264"/>
      <c r="G86" s="262"/>
      <c r="H86" s="264"/>
      <c r="I86" s="262"/>
      <c r="J86" s="264"/>
      <c r="K86" s="262"/>
      <c r="L86" s="265">
        <v>0</v>
      </c>
      <c r="M86" s="266">
        <v>0</v>
      </c>
      <c r="N86" s="264"/>
      <c r="O86" s="262"/>
      <c r="P86" s="267">
        <v>0</v>
      </c>
      <c r="Q86" s="494">
        <f>VLOOKUP($B86,'АПП Баз'!$B$8:$X$73,10,FALSE)+VLOOKUP($B86,'АПП Баз'!$B$8:$X$73,22,FALSE)</f>
        <v>0</v>
      </c>
      <c r="R86" s="495">
        <f>(VLOOKUP($B86,'АПП Баз'!$B$8:$X$73,11,FALSE)+VLOOKUP($B86,'АПП Баз'!$B$8:$X$73,23,FALSE))*1000</f>
        <v>0</v>
      </c>
      <c r="S86" s="264"/>
      <c r="T86" s="262"/>
      <c r="U86" s="268">
        <v>0</v>
      </c>
      <c r="V86" s="269">
        <v>0</v>
      </c>
      <c r="W86" s="268">
        <v>0</v>
      </c>
      <c r="X86" s="269">
        <v>0</v>
      </c>
      <c r="Y86" s="268">
        <v>0</v>
      </c>
      <c r="Z86" s="269">
        <v>0</v>
      </c>
      <c r="AA86" s="268">
        <v>0</v>
      </c>
      <c r="AB86" s="269">
        <v>0</v>
      </c>
      <c r="AC86" s="284"/>
      <c r="AD86" s="285"/>
      <c r="AE86" s="284"/>
      <c r="AF86" s="285"/>
      <c r="AG86" s="284"/>
      <c r="AH86" s="285"/>
      <c r="AI86" s="272">
        <f t="shared" si="17"/>
        <v>0</v>
      </c>
      <c r="AJ86" s="272">
        <f t="shared" si="13"/>
        <v>0</v>
      </c>
      <c r="AK86" s="273">
        <f t="shared" si="18"/>
        <v>0</v>
      </c>
      <c r="AL86" s="274">
        <f t="shared" si="18"/>
        <v>0</v>
      </c>
      <c r="AM86" s="275">
        <f>R86+M86+O86+P86+T86+V86+X86+Z86+AB86+AD86+AF86+AH86</f>
        <v>0</v>
      </c>
      <c r="AN86" s="276">
        <f>D86+E86+AM86</f>
        <v>0</v>
      </c>
      <c r="AO86" s="277">
        <f>AM86-P86</f>
        <v>0</v>
      </c>
      <c r="AP86" s="331"/>
      <c r="AQ86" s="278">
        <f>AN86-AH86-AF86-AD86</f>
        <v>0</v>
      </c>
      <c r="AR86" s="331">
        <f>IFERROR((VLOOKUP(B86,'АПП Баз'!$B$8:$Y$72,24,FALSE)*1000),0)</f>
        <v>3594452.28</v>
      </c>
      <c r="AS86" s="334">
        <f>AQ86-AR86</f>
        <v>-3594452.28</v>
      </c>
    </row>
    <row r="87" spans="1:47" ht="15" customHeight="1" x14ac:dyDescent="0.25">
      <c r="A87" s="261">
        <v>84</v>
      </c>
      <c r="B87" s="437">
        <v>390010</v>
      </c>
      <c r="C87" s="6" t="s">
        <v>208</v>
      </c>
      <c r="D87" s="291"/>
      <c r="E87" s="292"/>
      <c r="F87" s="293"/>
      <c r="G87" s="291"/>
      <c r="H87" s="293"/>
      <c r="I87" s="291"/>
      <c r="J87" s="293"/>
      <c r="K87" s="291"/>
      <c r="L87" s="265">
        <v>0</v>
      </c>
      <c r="M87" s="266">
        <v>0</v>
      </c>
      <c r="N87" s="293"/>
      <c r="O87" s="291"/>
      <c r="P87" s="267">
        <v>0</v>
      </c>
      <c r="Q87" s="494">
        <f>VLOOKUP($B87,'АПП Баз'!$B$8:$X$73,10,FALSE)+VLOOKUP($B87,'АПП Баз'!$B$8:$X$73,22,FALSE)</f>
        <v>0</v>
      </c>
      <c r="R87" s="495">
        <f>(VLOOKUP($B87,'АПП Баз'!$B$8:$X$73,11,FALSE)+VLOOKUP($B87,'АПП Баз'!$B$8:$X$73,23,FALSE))*1000</f>
        <v>0</v>
      </c>
      <c r="S87" s="293"/>
      <c r="T87" s="291"/>
      <c r="U87" s="268">
        <v>0</v>
      </c>
      <c r="V87" s="269">
        <v>0</v>
      </c>
      <c r="W87" s="268">
        <v>0</v>
      </c>
      <c r="X87" s="269">
        <v>0</v>
      </c>
      <c r="Y87" s="268">
        <v>0</v>
      </c>
      <c r="Z87" s="269">
        <v>0</v>
      </c>
      <c r="AA87" s="268">
        <v>0</v>
      </c>
      <c r="AB87" s="269">
        <v>0</v>
      </c>
      <c r="AC87" s="284"/>
      <c r="AD87" s="285"/>
      <c r="AE87" s="284"/>
      <c r="AF87" s="285"/>
      <c r="AG87" s="284"/>
      <c r="AH87" s="285"/>
      <c r="AI87" s="272">
        <f t="shared" si="17"/>
        <v>0</v>
      </c>
      <c r="AJ87" s="272">
        <f t="shared" si="13"/>
        <v>0</v>
      </c>
      <c r="AK87" s="273">
        <f t="shared" si="18"/>
        <v>0</v>
      </c>
      <c r="AL87" s="274">
        <f t="shared" si="18"/>
        <v>0</v>
      </c>
      <c r="AM87" s="275">
        <f t="shared" si="14"/>
        <v>0</v>
      </c>
      <c r="AN87" s="276">
        <f t="shared" si="19"/>
        <v>0</v>
      </c>
      <c r="AO87" s="277">
        <f t="shared" si="15"/>
        <v>0</v>
      </c>
      <c r="AP87" s="331"/>
      <c r="AQ87" s="278">
        <f t="shared" si="20"/>
        <v>0</v>
      </c>
      <c r="AR87" s="331">
        <f>IFERROR((VLOOKUP(B87,'АПП Баз'!$B$8:$Y$72,24,FALSE)*1000),0)</f>
        <v>0</v>
      </c>
      <c r="AS87" s="334">
        <f t="shared" si="16"/>
        <v>0</v>
      </c>
    </row>
    <row r="88" spans="1:47" ht="15" customHeight="1" x14ac:dyDescent="0.25">
      <c r="A88" s="261"/>
      <c r="B88" s="5"/>
      <c r="C88" s="6"/>
      <c r="D88" s="291"/>
      <c r="E88" s="292"/>
      <c r="F88" s="293"/>
      <c r="G88" s="291"/>
      <c r="H88" s="293"/>
      <c r="I88" s="291"/>
      <c r="J88" s="293"/>
      <c r="K88" s="291"/>
      <c r="L88" s="265"/>
      <c r="M88" s="266"/>
      <c r="N88" s="294"/>
      <c r="O88" s="295"/>
      <c r="P88" s="267"/>
      <c r="Q88" s="494"/>
      <c r="R88" s="495"/>
      <c r="S88" s="293"/>
      <c r="T88" s="291"/>
      <c r="U88" s="268"/>
      <c r="V88" s="269"/>
      <c r="W88" s="268"/>
      <c r="X88" s="269"/>
      <c r="Y88" s="268"/>
      <c r="Z88" s="269"/>
      <c r="AA88" s="268"/>
      <c r="AB88" s="269"/>
      <c r="AC88" s="284"/>
      <c r="AD88" s="285"/>
      <c r="AE88" s="284"/>
      <c r="AF88" s="285"/>
      <c r="AG88" s="284"/>
      <c r="AH88" s="285"/>
      <c r="AI88" s="272"/>
      <c r="AJ88" s="272"/>
      <c r="AK88" s="273"/>
      <c r="AL88" s="274"/>
      <c r="AM88" s="275"/>
      <c r="AN88" s="276"/>
      <c r="AO88" s="277"/>
      <c r="AP88" s="331"/>
      <c r="AQ88" s="278"/>
      <c r="AR88" s="331"/>
      <c r="AS88" s="334"/>
    </row>
    <row r="89" spans="1:47" x14ac:dyDescent="0.25">
      <c r="A89" s="261"/>
      <c r="B89" s="261"/>
      <c r="C89" s="296" t="s">
        <v>75</v>
      </c>
      <c r="D89" s="297">
        <f t="shared" ref="D89:AO89" si="21">SUM(D4:D88)</f>
        <v>2398467667.3678451</v>
      </c>
      <c r="E89" s="298">
        <f t="shared" si="21"/>
        <v>171610738.35999998</v>
      </c>
      <c r="F89" s="299">
        <f t="shared" si="21"/>
        <v>1433856</v>
      </c>
      <c r="G89" s="300">
        <f t="shared" si="21"/>
        <v>1813197632.6743329</v>
      </c>
      <c r="H89" s="299">
        <f t="shared" si="21"/>
        <v>1504335</v>
      </c>
      <c r="I89" s="300">
        <f t="shared" si="21"/>
        <v>477563127.28513986</v>
      </c>
      <c r="J89" s="299">
        <f t="shared" si="21"/>
        <v>404470</v>
      </c>
      <c r="K89" s="300">
        <f t="shared" si="21"/>
        <v>279317645.76837242</v>
      </c>
      <c r="L89" s="301">
        <f t="shared" si="21"/>
        <v>56913</v>
      </c>
      <c r="M89" s="302">
        <f t="shared" si="21"/>
        <v>75369316.769999981</v>
      </c>
      <c r="N89" s="299">
        <f t="shared" si="21"/>
        <v>4089</v>
      </c>
      <c r="O89" s="300">
        <f t="shared" si="21"/>
        <v>363511954.23000002</v>
      </c>
      <c r="P89" s="300">
        <f t="shared" si="21"/>
        <v>46520460</v>
      </c>
      <c r="Q89" s="301">
        <f t="shared" si="21"/>
        <v>602398</v>
      </c>
      <c r="R89" s="302">
        <f t="shared" si="21"/>
        <v>515961617.46999997</v>
      </c>
      <c r="S89" s="299">
        <f t="shared" si="21"/>
        <v>3150</v>
      </c>
      <c r="T89" s="300">
        <f t="shared" si="21"/>
        <v>62292100.010000005</v>
      </c>
      <c r="U89" s="301">
        <f t="shared" si="21"/>
        <v>262996</v>
      </c>
      <c r="V89" s="302">
        <f t="shared" si="21"/>
        <v>768498994.23611593</v>
      </c>
      <c r="W89" s="301">
        <f t="shared" si="21"/>
        <v>270210</v>
      </c>
      <c r="X89" s="302">
        <f t="shared" si="21"/>
        <v>342788405.99000007</v>
      </c>
      <c r="Y89" s="301">
        <f t="shared" si="21"/>
        <v>78581</v>
      </c>
      <c r="Z89" s="302">
        <f t="shared" si="21"/>
        <v>85189700.000000015</v>
      </c>
      <c r="AA89" s="301">
        <f t="shared" si="21"/>
        <v>274189</v>
      </c>
      <c r="AB89" s="302">
        <f t="shared" si="21"/>
        <v>562498699.99999988</v>
      </c>
      <c r="AC89" s="34">
        <f t="shared" si="21"/>
        <v>751184.96799999999</v>
      </c>
      <c r="AD89" s="303">
        <f t="shared" si="21"/>
        <v>293342000</v>
      </c>
      <c r="AE89" s="34">
        <f t="shared" si="21"/>
        <v>559878.84799999988</v>
      </c>
      <c r="AF89" s="303">
        <f t="shared" si="21"/>
        <v>215866000</v>
      </c>
      <c r="AG89" s="34">
        <f t="shared" si="21"/>
        <v>175321.45999999993</v>
      </c>
      <c r="AH89" s="303">
        <f t="shared" si="21"/>
        <v>15745000</v>
      </c>
      <c r="AI89" s="25">
        <f t="shared" si="21"/>
        <v>810532.6</v>
      </c>
      <c r="AJ89" s="25">
        <f t="shared" si="21"/>
        <v>2226724.3080000002</v>
      </c>
      <c r="AK89" s="25">
        <f t="shared" si="21"/>
        <v>615766</v>
      </c>
      <c r="AL89" s="304">
        <f t="shared" si="21"/>
        <v>1416187394.2361162</v>
      </c>
      <c r="AM89" s="305">
        <f t="shared" si="21"/>
        <v>3347584248.7061167</v>
      </c>
      <c r="AN89" s="300">
        <f t="shared" si="21"/>
        <v>5917662654.4339628</v>
      </c>
      <c r="AO89" s="303">
        <f t="shared" si="21"/>
        <v>3301063788.7061167</v>
      </c>
      <c r="AP89" s="442"/>
      <c r="AQ89" s="442">
        <f>SUM(AQ4:AQ88)</f>
        <v>5392709654.4339628</v>
      </c>
      <c r="AR89" s="442">
        <f>SUM(AR4:AR88)</f>
        <v>5668278901.7999544</v>
      </c>
      <c r="AS89" s="443">
        <f>SUM(AS4:AS88)</f>
        <v>-275569247.3659969</v>
      </c>
      <c r="AU89" s="442">
        <f>SUM(AU4:AU88)</f>
        <v>173141480.43000001</v>
      </c>
    </row>
    <row r="90" spans="1:47" x14ac:dyDescent="0.25">
      <c r="A90" s="306"/>
      <c r="B90" s="306"/>
      <c r="C90" s="307"/>
      <c r="D90" s="430"/>
      <c r="E90" s="431"/>
      <c r="F90" s="39"/>
      <c r="G90" s="308">
        <f>G89/F89</f>
        <v>1264.5604807416735</v>
      </c>
      <c r="H90" s="39"/>
      <c r="I90" s="308">
        <f>I89/H89</f>
        <v>317.4579646721906</v>
      </c>
      <c r="J90" s="39"/>
      <c r="K90" s="308">
        <f>K89/J89</f>
        <v>690.57691736932884</v>
      </c>
      <c r="L90" s="43"/>
      <c r="N90" s="39"/>
      <c r="O90" s="308"/>
      <c r="P90" s="308"/>
      <c r="Q90" s="43"/>
      <c r="R90" s="328"/>
      <c r="S90" s="39"/>
      <c r="T90" s="308"/>
      <c r="U90" s="43"/>
      <c r="V90" s="328"/>
      <c r="W90" s="43"/>
      <c r="X90" s="328"/>
      <c r="Y90" s="43"/>
      <c r="Z90" s="328"/>
      <c r="AA90" s="43"/>
      <c r="AB90" s="328"/>
      <c r="AC90" s="432"/>
      <c r="AD90" s="309"/>
      <c r="AE90" s="432"/>
      <c r="AF90" s="309"/>
      <c r="AG90" s="432"/>
      <c r="AH90" s="309"/>
      <c r="AI90" s="435"/>
      <c r="AJ90" s="435"/>
      <c r="AK90" s="434"/>
      <c r="AL90" s="434"/>
      <c r="AM90" s="435"/>
      <c r="AN90" s="308"/>
      <c r="AO90" s="309"/>
      <c r="AQ90" s="308"/>
      <c r="AR90" s="308"/>
    </row>
    <row r="91" spans="1:47" x14ac:dyDescent="0.25">
      <c r="C91" s="68" t="s">
        <v>178</v>
      </c>
      <c r="D91" s="444">
        <v>2225326186.9378452</v>
      </c>
      <c r="E91" s="431">
        <v>171610738.35999998</v>
      </c>
      <c r="F91" s="39">
        <v>1433856</v>
      </c>
      <c r="G91" s="331">
        <v>1640056152.2443335</v>
      </c>
      <c r="H91" s="83"/>
      <c r="I91" s="331">
        <v>477563127.28513986</v>
      </c>
      <c r="J91" s="39">
        <v>404470</v>
      </c>
      <c r="K91" s="331">
        <v>279317645.76837242</v>
      </c>
      <c r="L91" s="43">
        <v>56913</v>
      </c>
      <c r="M91" s="328">
        <v>75369316.769999981</v>
      </c>
      <c r="N91" s="83">
        <v>4089</v>
      </c>
      <c r="O91" s="331">
        <v>363511954.23000002</v>
      </c>
      <c r="P91" s="331">
        <v>430531587.69999999</v>
      </c>
      <c r="Q91" s="43">
        <v>644026</v>
      </c>
      <c r="R91" s="328">
        <v>290688317.57999986</v>
      </c>
      <c r="S91" s="83">
        <v>3050</v>
      </c>
      <c r="T91" s="331">
        <v>60713300.010000005</v>
      </c>
      <c r="U91" s="445">
        <v>262996</v>
      </c>
      <c r="V91" s="281">
        <v>768498994.23611593</v>
      </c>
      <c r="W91" s="445">
        <v>0</v>
      </c>
      <c r="X91" s="281">
        <v>0</v>
      </c>
      <c r="Y91" s="445">
        <v>78581</v>
      </c>
      <c r="Z91" s="281">
        <v>85189700.000000015</v>
      </c>
      <c r="AA91" s="445">
        <v>274189</v>
      </c>
      <c r="AB91" s="281">
        <v>562498700</v>
      </c>
      <c r="AC91" s="446">
        <v>751184.96799999988</v>
      </c>
      <c r="AD91" s="333">
        <v>293342000</v>
      </c>
      <c r="AE91" s="446">
        <v>559878.848</v>
      </c>
      <c r="AF91" s="333">
        <v>215866000</v>
      </c>
      <c r="AG91" s="446">
        <v>175321.45999999993</v>
      </c>
      <c r="AH91" s="333">
        <v>15745000</v>
      </c>
      <c r="AI91" s="334"/>
      <c r="AJ91" s="334"/>
      <c r="AK91" s="447">
        <v>0</v>
      </c>
      <c r="AL91" s="335">
        <v>0</v>
      </c>
      <c r="AM91" s="334"/>
      <c r="AN91" s="396"/>
      <c r="AO91" s="333"/>
      <c r="AQ91" s="396">
        <f>AN89-AH94</f>
        <v>5392709654.4339628</v>
      </c>
      <c r="AR91" s="396">
        <f>'АПП Баз'!Y73*1000</f>
        <v>5668278901.7999611</v>
      </c>
      <c r="AS91" s="334">
        <f>-(I92+K92)</f>
        <v>0</v>
      </c>
      <c r="AU91" s="396">
        <v>173141480.43000001</v>
      </c>
    </row>
    <row r="92" spans="1:47" s="414" customFormat="1" x14ac:dyDescent="0.25">
      <c r="C92" s="415" t="s">
        <v>268</v>
      </c>
      <c r="D92" s="328">
        <f>D89-D91</f>
        <v>173141480.42999983</v>
      </c>
      <c r="E92" s="328">
        <f>E89-E91</f>
        <v>0</v>
      </c>
      <c r="F92" s="43">
        <f t="shared" ref="F92:I92" si="22">F91-F89</f>
        <v>0</v>
      </c>
      <c r="G92" s="328">
        <f>G89-G91</f>
        <v>173141480.42999935</v>
      </c>
      <c r="H92" s="43"/>
      <c r="I92" s="328">
        <f t="shared" si="22"/>
        <v>0</v>
      </c>
      <c r="J92" s="43">
        <f>J89-J91</f>
        <v>0</v>
      </c>
      <c r="K92" s="328">
        <f>K89-K91</f>
        <v>0</v>
      </c>
      <c r="L92" s="43">
        <f t="shared" ref="L92:AL92" si="23">L91-L89</f>
        <v>0</v>
      </c>
      <c r="M92" s="328">
        <f t="shared" si="23"/>
        <v>0</v>
      </c>
      <c r="N92" s="39">
        <f t="shared" si="23"/>
        <v>0</v>
      </c>
      <c r="O92" s="308">
        <f t="shared" si="23"/>
        <v>0</v>
      </c>
      <c r="P92" s="308">
        <f t="shared" si="23"/>
        <v>384011127.69999999</v>
      </c>
      <c r="Q92" s="43">
        <f t="shared" si="23"/>
        <v>41628</v>
      </c>
      <c r="R92" s="328">
        <f t="shared" si="23"/>
        <v>-225273299.8900001</v>
      </c>
      <c r="S92" s="39">
        <f t="shared" si="23"/>
        <v>-100</v>
      </c>
      <c r="T92" s="308">
        <f t="shared" si="23"/>
        <v>-1578800</v>
      </c>
      <c r="U92" s="43">
        <f t="shared" si="23"/>
        <v>0</v>
      </c>
      <c r="V92" s="328">
        <f t="shared" si="23"/>
        <v>0</v>
      </c>
      <c r="W92" s="43">
        <f t="shared" si="23"/>
        <v>-270210</v>
      </c>
      <c r="X92" s="328">
        <f t="shared" si="23"/>
        <v>-342788405.99000007</v>
      </c>
      <c r="Y92" s="43">
        <f t="shared" si="23"/>
        <v>0</v>
      </c>
      <c r="Z92" s="328">
        <f t="shared" si="23"/>
        <v>0</v>
      </c>
      <c r="AA92" s="43">
        <f t="shared" si="23"/>
        <v>0</v>
      </c>
      <c r="AB92" s="328">
        <f t="shared" si="23"/>
        <v>0</v>
      </c>
      <c r="AC92" s="432">
        <f t="shared" si="23"/>
        <v>0</v>
      </c>
      <c r="AD92" s="309">
        <f t="shared" si="23"/>
        <v>0</v>
      </c>
      <c r="AE92" s="432">
        <f t="shared" si="23"/>
        <v>0</v>
      </c>
      <c r="AF92" s="309">
        <f t="shared" si="23"/>
        <v>0</v>
      </c>
      <c r="AG92" s="432">
        <f t="shared" si="23"/>
        <v>0</v>
      </c>
      <c r="AH92" s="309">
        <f t="shared" si="23"/>
        <v>0</v>
      </c>
      <c r="AI92" s="433"/>
      <c r="AJ92" s="433"/>
      <c r="AK92" s="433">
        <f t="shared" si="23"/>
        <v>-615766</v>
      </c>
      <c r="AL92" s="434">
        <f t="shared" si="23"/>
        <v>-1416187394.2361162</v>
      </c>
      <c r="AM92" s="435"/>
      <c r="AN92" s="281"/>
      <c r="AO92" s="309"/>
      <c r="AQ92" s="415"/>
      <c r="AR92" s="44">
        <f>AR89-AR91</f>
        <v>0</v>
      </c>
      <c r="AS92" s="416"/>
      <c r="AU92" s="519">
        <f>AU89-AU91</f>
        <v>0</v>
      </c>
    </row>
    <row r="93" spans="1:47" ht="15.75" customHeight="1" x14ac:dyDescent="0.25">
      <c r="D93" s="440"/>
      <c r="F93" s="325"/>
      <c r="G93" s="158"/>
      <c r="H93" s="624"/>
      <c r="I93" s="624"/>
      <c r="O93" s="331">
        <f>O91/N91</f>
        <v>88899.964350697002</v>
      </c>
      <c r="AN93" s="155"/>
      <c r="AQ93" s="40">
        <f>AQ91-AQ89</f>
        <v>0</v>
      </c>
    </row>
    <row r="94" spans="1:47" x14ac:dyDescent="0.25">
      <c r="C94" s="259"/>
      <c r="D94" s="331"/>
      <c r="G94" s="405">
        <f>G89/($D$89+$E$89)</f>
        <v>0.70550284716346467</v>
      </c>
      <c r="H94" s="406"/>
      <c r="I94" s="405">
        <f>I89/($D$89+$E$89)</f>
        <v>0.18581655961188243</v>
      </c>
      <c r="J94" s="406"/>
      <c r="K94" s="405">
        <f>K89/($D$89+$E$89)</f>
        <v>0.10868059322465291</v>
      </c>
      <c r="AH94" s="333">
        <f>AD89+AF89+AH89</f>
        <v>524953000</v>
      </c>
      <c r="AI94" s="334"/>
      <c r="AJ94" s="334"/>
      <c r="AK94" s="335"/>
      <c r="AL94" s="335"/>
      <c r="AM94" s="334"/>
      <c r="AQ94" s="308"/>
    </row>
    <row r="95" spans="1:47" x14ac:dyDescent="0.25">
      <c r="AH95" s="333">
        <v>708028036.22651994</v>
      </c>
    </row>
    <row r="96" spans="1:47" x14ac:dyDescent="0.25">
      <c r="G96" s="331"/>
      <c r="K96" s="496"/>
      <c r="AG96" s="319" t="s">
        <v>238</v>
      </c>
      <c r="AH96" s="333">
        <f>AH95-AH94</f>
        <v>183075036.22651994</v>
      </c>
      <c r="AQ96" s="308"/>
    </row>
    <row r="97" spans="4:43" x14ac:dyDescent="0.25">
      <c r="D97" s="491">
        <f>D89+E89</f>
        <v>2570078405.7278452</v>
      </c>
      <c r="G97" s="331">
        <f>G89+O89+P89</f>
        <v>2223230046.9043331</v>
      </c>
      <c r="I97" s="331"/>
      <c r="K97" s="496"/>
      <c r="AQ97" s="308"/>
    </row>
    <row r="98" spans="4:43" x14ac:dyDescent="0.25">
      <c r="D98" s="491">
        <f>G89+I89+K89</f>
        <v>2570078405.7278452</v>
      </c>
      <c r="K98" s="496"/>
    </row>
    <row r="99" spans="4:43" x14ac:dyDescent="0.25">
      <c r="D99" s="498">
        <f>D97-D98</f>
        <v>0</v>
      </c>
    </row>
    <row r="103" spans="4:43" x14ac:dyDescent="0.25">
      <c r="D103" s="491">
        <f>D91+E91</f>
        <v>2396936925.2978454</v>
      </c>
      <c r="G103" s="331">
        <f>G89+I89+K89</f>
        <v>2570078405.7278452</v>
      </c>
    </row>
    <row r="104" spans="4:43" x14ac:dyDescent="0.25">
      <c r="G104" s="331">
        <f>D103-G103</f>
        <v>-173141480.42999983</v>
      </c>
    </row>
    <row r="105" spans="4:43" x14ac:dyDescent="0.25">
      <c r="G105" s="331">
        <f>G104+K92</f>
        <v>-173141480.42999983</v>
      </c>
    </row>
  </sheetData>
  <autoFilter ref="A3:AS89" xr:uid="{5397B191-A986-4C1E-AFB5-4990C3165180}"/>
  <mergeCells count="19">
    <mergeCell ref="H93:I93"/>
    <mergeCell ref="A1:A2"/>
    <mergeCell ref="B1:B2"/>
    <mergeCell ref="C1:C2"/>
    <mergeCell ref="F1:G1"/>
    <mergeCell ref="H1:I1"/>
    <mergeCell ref="J1:K1"/>
    <mergeCell ref="AI1:AM1"/>
    <mergeCell ref="L1:M1"/>
    <mergeCell ref="N1:O1"/>
    <mergeCell ref="Q1:R1"/>
    <mergeCell ref="S1:T1"/>
    <mergeCell ref="U1:V1"/>
    <mergeCell ref="W1:X1"/>
    <mergeCell ref="Y1:Z1"/>
    <mergeCell ref="AA1:AB1"/>
    <mergeCell ref="AC1:AD1"/>
    <mergeCell ref="AE1:AF1"/>
    <mergeCell ref="AG1:AH1"/>
  </mergeCells>
  <pageMargins left="0.19685039370078741" right="0.19685039370078741" top="0.19685039370078741" bottom="0.78740157480314965" header="0.23622047244094491" footer="0.47244094488188981"/>
  <pageSetup paperSize="9" scale="45" fitToWidth="2" fitToHeight="2" orientation="landscape" vertic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4DA3-8BAF-45C6-A3CA-8B0DC3D9E4AE}">
  <sheetPr>
    <tabColor theme="8" tint="0.39997558519241921"/>
    <pageSetUpPr fitToPage="1"/>
  </sheetPr>
  <dimension ref="A1:O34"/>
  <sheetViews>
    <sheetView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5" sqref="E5"/>
    </sheetView>
  </sheetViews>
  <sheetFormatPr defaultRowHeight="15" x14ac:dyDescent="0.25"/>
  <cols>
    <col min="1" max="1" width="5.42578125" style="449" customWidth="1"/>
    <col min="2" max="2" width="9.140625" style="449"/>
    <col min="3" max="3" width="35.140625" style="449" customWidth="1"/>
    <col min="4" max="4" width="12.42578125" style="449" customWidth="1"/>
    <col min="5" max="5" width="19.85546875" style="449" customWidth="1"/>
    <col min="6" max="6" width="15.140625" style="449" customWidth="1"/>
    <col min="7" max="7" width="18" style="449" customWidth="1"/>
    <col min="8" max="8" width="15.5703125" style="449" customWidth="1"/>
    <col min="9" max="9" width="20.5703125" style="449" customWidth="1"/>
    <col min="10" max="10" width="20" style="466" customWidth="1"/>
    <col min="11" max="11" width="22.28515625" style="449" customWidth="1"/>
    <col min="12" max="14" width="9.140625" style="449"/>
    <col min="15" max="15" width="9.28515625" style="449" customWidth="1"/>
    <col min="16" max="16384" width="9.140625" style="449"/>
  </cols>
  <sheetData>
    <row r="1" spans="1:15" ht="18.75" x14ac:dyDescent="0.3">
      <c r="A1" s="448"/>
      <c r="B1" s="625" t="s">
        <v>259</v>
      </c>
      <c r="C1" s="625"/>
      <c r="D1" s="625"/>
      <c r="E1" s="625"/>
      <c r="F1" s="625"/>
      <c r="G1" s="625"/>
      <c r="H1" s="625"/>
      <c r="I1" s="625"/>
      <c r="J1" s="625"/>
    </row>
    <row r="2" spans="1:15" s="452" customFormat="1" ht="47.25" customHeight="1" x14ac:dyDescent="0.25">
      <c r="A2" s="450" t="s">
        <v>4</v>
      </c>
      <c r="B2" s="451" t="s">
        <v>163</v>
      </c>
      <c r="C2" s="451" t="s">
        <v>240</v>
      </c>
      <c r="D2" s="450" t="s">
        <v>241</v>
      </c>
      <c r="E2" s="451" t="s">
        <v>242</v>
      </c>
      <c r="F2" s="450" t="s">
        <v>244</v>
      </c>
      <c r="G2" s="451" t="s">
        <v>245</v>
      </c>
      <c r="H2" s="450" t="s">
        <v>246</v>
      </c>
      <c r="I2" s="450" t="s">
        <v>243</v>
      </c>
      <c r="J2" s="450" t="s">
        <v>75</v>
      </c>
      <c r="K2" s="450" t="s">
        <v>260</v>
      </c>
      <c r="L2" s="452" t="s">
        <v>256</v>
      </c>
      <c r="M2" s="452" t="s">
        <v>257</v>
      </c>
    </row>
    <row r="3" spans="1:15" ht="15" customHeight="1" x14ac:dyDescent="0.25">
      <c r="A3" s="453"/>
      <c r="B3" s="454">
        <v>1</v>
      </c>
      <c r="C3" s="454">
        <v>2</v>
      </c>
      <c r="D3" s="454">
        <v>3</v>
      </c>
      <c r="E3" s="454">
        <v>4</v>
      </c>
      <c r="F3" s="454">
        <v>5</v>
      </c>
      <c r="G3" s="454">
        <v>6</v>
      </c>
      <c r="H3" s="454">
        <v>7</v>
      </c>
      <c r="I3" s="454">
        <v>8</v>
      </c>
      <c r="J3" s="454">
        <v>9</v>
      </c>
      <c r="K3" s="454">
        <v>10</v>
      </c>
      <c r="L3" s="474">
        <v>0.68729670538472643</v>
      </c>
      <c r="M3" s="474">
        <v>0.19515946473353743</v>
      </c>
      <c r="N3" s="474">
        <v>0.11754382988173619</v>
      </c>
    </row>
    <row r="4" spans="1:15" ht="15.75" x14ac:dyDescent="0.25">
      <c r="A4" s="455">
        <v>1</v>
      </c>
      <c r="B4" s="455">
        <v>390440</v>
      </c>
      <c r="C4" s="456" t="s">
        <v>95</v>
      </c>
      <c r="D4" s="457">
        <v>133543</v>
      </c>
      <c r="E4" s="458">
        <f>K4*$L$3*$E$34</f>
        <v>108305784.56710815</v>
      </c>
      <c r="F4" s="460">
        <v>139848</v>
      </c>
      <c r="G4" s="461">
        <f>K4-I4-E4</f>
        <v>23478514.462891832</v>
      </c>
      <c r="H4" s="462">
        <v>38121</v>
      </c>
      <c r="I4" s="458">
        <v>26518111.23</v>
      </c>
      <c r="J4" s="458">
        <f>E4+G4+I4</f>
        <v>158302410.25999999</v>
      </c>
      <c r="K4" s="489">
        <v>158302410.25999999</v>
      </c>
      <c r="L4" s="474">
        <f>E4/K4</f>
        <v>0.6841701550167425</v>
      </c>
      <c r="M4" s="474">
        <f>G4/K4</f>
        <v>0.1483143208263861</v>
      </c>
      <c r="N4" s="474">
        <f>I4/K4</f>
        <v>0.16751552415687143</v>
      </c>
      <c r="O4" s="492">
        <f>L4+M4+N4</f>
        <v>1</v>
      </c>
    </row>
    <row r="5" spans="1:15" ht="15.75" x14ac:dyDescent="0.25">
      <c r="A5" s="455">
        <v>2</v>
      </c>
      <c r="B5" s="455">
        <v>390100</v>
      </c>
      <c r="C5" s="456" t="s">
        <v>93</v>
      </c>
      <c r="D5" s="457">
        <v>107695</v>
      </c>
      <c r="E5" s="458">
        <f t="shared" ref="E5:E30" si="0">K5*$L$3*$E$34</f>
        <v>87589287.386552393</v>
      </c>
      <c r="F5" s="460">
        <v>112780</v>
      </c>
      <c r="G5" s="461">
        <f t="shared" ref="G5:G30" si="1">K5-I5-E5</f>
        <v>19234750.20344761</v>
      </c>
      <c r="H5" s="462">
        <v>30474</v>
      </c>
      <c r="I5" s="458">
        <v>21198628.620000001</v>
      </c>
      <c r="J5" s="458">
        <f t="shared" ref="J5:J30" si="2">E5+G5+I5</f>
        <v>128022666.21000001</v>
      </c>
      <c r="K5" s="489">
        <v>128022666.21000001</v>
      </c>
      <c r="L5" s="474">
        <f t="shared" ref="L5:L31" si="3">E5/K5</f>
        <v>0.6841701550167425</v>
      </c>
      <c r="M5" s="474">
        <f t="shared" ref="M5:M31" si="4">G5/K5</f>
        <v>0.15024488063618505</v>
      </c>
      <c r="N5" s="474">
        <f t="shared" ref="N5:N31" si="5">I5/K5</f>
        <v>0.1655849643470724</v>
      </c>
      <c r="O5" s="492">
        <f t="shared" ref="O5:O31" si="6">L5+M5+N5</f>
        <v>0.99999999999999989</v>
      </c>
    </row>
    <row r="6" spans="1:15" ht="15.75" x14ac:dyDescent="0.25">
      <c r="A6" s="455">
        <v>3</v>
      </c>
      <c r="B6" s="455">
        <v>390090</v>
      </c>
      <c r="C6" s="456" t="s">
        <v>92</v>
      </c>
      <c r="D6" s="457">
        <v>106259</v>
      </c>
      <c r="E6" s="458">
        <f t="shared" si="0"/>
        <v>83749548.193316281</v>
      </c>
      <c r="F6" s="460">
        <v>111277</v>
      </c>
      <c r="G6" s="461">
        <f t="shared" si="1"/>
        <v>17702919.716683716</v>
      </c>
      <c r="H6" s="462">
        <v>30128</v>
      </c>
      <c r="I6" s="458">
        <v>20957940.640000001</v>
      </c>
      <c r="J6" s="458">
        <f t="shared" si="2"/>
        <v>122410408.55</v>
      </c>
      <c r="K6" s="489">
        <v>122410408.55</v>
      </c>
      <c r="L6" s="474">
        <f t="shared" si="3"/>
        <v>0.6841701550167425</v>
      </c>
      <c r="M6" s="474">
        <f t="shared" si="4"/>
        <v>0.14461939900684789</v>
      </c>
      <c r="N6" s="474">
        <f t="shared" si="5"/>
        <v>0.17121044597640958</v>
      </c>
      <c r="O6" s="492">
        <f t="shared" si="6"/>
        <v>0.99999999999999989</v>
      </c>
    </row>
    <row r="7" spans="1:15" ht="15.75" x14ac:dyDescent="0.25">
      <c r="A7" s="455">
        <v>4</v>
      </c>
      <c r="B7" s="455">
        <v>390400</v>
      </c>
      <c r="C7" s="456" t="s">
        <v>94</v>
      </c>
      <c r="D7" s="457">
        <v>228313</v>
      </c>
      <c r="E7" s="458">
        <f t="shared" si="0"/>
        <v>187053741.00963214</v>
      </c>
      <c r="F7" s="460">
        <v>239094</v>
      </c>
      <c r="G7" s="461">
        <f t="shared" si="1"/>
        <v>41070016.960367918</v>
      </c>
      <c r="H7" s="462">
        <v>65091</v>
      </c>
      <c r="I7" s="458">
        <v>45278610.780000001</v>
      </c>
      <c r="J7" s="458">
        <f t="shared" si="2"/>
        <v>273402368.75000006</v>
      </c>
      <c r="K7" s="489">
        <v>273402368.75000006</v>
      </c>
      <c r="L7" s="474">
        <f t="shared" si="3"/>
        <v>0.6841701550167425</v>
      </c>
      <c r="M7" s="474">
        <f t="shared" si="4"/>
        <v>0.15021821920614911</v>
      </c>
      <c r="N7" s="474">
        <f t="shared" si="5"/>
        <v>0.16561162577710839</v>
      </c>
      <c r="O7" s="492">
        <f t="shared" si="6"/>
        <v>1</v>
      </c>
    </row>
    <row r="8" spans="1:15" ht="15.75" x14ac:dyDescent="0.25">
      <c r="A8" s="455">
        <v>5</v>
      </c>
      <c r="B8" s="455">
        <v>390110</v>
      </c>
      <c r="C8" s="456" t="s">
        <v>99</v>
      </c>
      <c r="D8" s="457">
        <v>17231</v>
      </c>
      <c r="E8" s="458">
        <f t="shared" si="0"/>
        <v>11866242.810446497</v>
      </c>
      <c r="F8" s="460">
        <v>18045</v>
      </c>
      <c r="G8" s="461">
        <f t="shared" si="1"/>
        <v>2078902.6395535059</v>
      </c>
      <c r="H8" s="462">
        <v>4886</v>
      </c>
      <c r="I8" s="458">
        <v>3398848.18</v>
      </c>
      <c r="J8" s="458">
        <f t="shared" si="2"/>
        <v>17343993.630000003</v>
      </c>
      <c r="K8" s="489">
        <v>17343993.630000003</v>
      </c>
      <c r="L8" s="474">
        <f t="shared" si="3"/>
        <v>0.6841701550167425</v>
      </c>
      <c r="M8" s="474">
        <f t="shared" si="4"/>
        <v>0.11986297296359798</v>
      </c>
      <c r="N8" s="474">
        <f t="shared" si="5"/>
        <v>0.19596687201965951</v>
      </c>
      <c r="O8" s="492">
        <f t="shared" si="6"/>
        <v>1</v>
      </c>
    </row>
    <row r="9" spans="1:15" ht="15.75" x14ac:dyDescent="0.25">
      <c r="A9" s="455">
        <v>6</v>
      </c>
      <c r="B9" s="455">
        <v>390890</v>
      </c>
      <c r="C9" s="456" t="s">
        <v>116</v>
      </c>
      <c r="D9" s="457">
        <v>162260</v>
      </c>
      <c r="E9" s="458">
        <f t="shared" si="0"/>
        <v>285625094.4156487</v>
      </c>
      <c r="F9" s="460">
        <v>169924</v>
      </c>
      <c r="G9" s="461">
        <f t="shared" si="1"/>
        <v>99596627.694351375</v>
      </c>
      <c r="H9" s="462">
        <v>46368</v>
      </c>
      <c r="I9" s="458">
        <v>32254971.84</v>
      </c>
      <c r="J9" s="458">
        <f t="shared" si="2"/>
        <v>417476693.95000005</v>
      </c>
      <c r="K9" s="489">
        <v>417476693.95000005</v>
      </c>
      <c r="L9" s="474">
        <f t="shared" si="3"/>
        <v>0.6841701550167425</v>
      </c>
      <c r="M9" s="474">
        <f t="shared" si="4"/>
        <v>0.23856811443055015</v>
      </c>
      <c r="N9" s="474">
        <f t="shared" si="5"/>
        <v>7.7261730552707408E-2</v>
      </c>
      <c r="O9" s="492">
        <f t="shared" si="6"/>
        <v>1</v>
      </c>
    </row>
    <row r="10" spans="1:15" ht="15.75" x14ac:dyDescent="0.25">
      <c r="A10" s="455">
        <v>7</v>
      </c>
      <c r="B10" s="455">
        <v>390200</v>
      </c>
      <c r="C10" s="456" t="s">
        <v>29</v>
      </c>
      <c r="D10" s="457">
        <v>34462</v>
      </c>
      <c r="E10" s="458">
        <f t="shared" si="0"/>
        <v>48582522.488723308</v>
      </c>
      <c r="F10" s="460">
        <v>36090</v>
      </c>
      <c r="G10" s="461">
        <f t="shared" si="1"/>
        <v>15623631.141276695</v>
      </c>
      <c r="H10" s="462">
        <v>9780</v>
      </c>
      <c r="I10" s="458">
        <v>6803261.4000000004</v>
      </c>
      <c r="J10" s="458">
        <f t="shared" si="2"/>
        <v>71009415.030000001</v>
      </c>
      <c r="K10" s="489">
        <v>71009415.030000001</v>
      </c>
      <c r="L10" s="474">
        <f t="shared" si="3"/>
        <v>0.6841701550167425</v>
      </c>
      <c r="M10" s="474">
        <f t="shared" si="4"/>
        <v>0.22002196658958584</v>
      </c>
      <c r="N10" s="474">
        <f t="shared" si="5"/>
        <v>9.580787839367165E-2</v>
      </c>
      <c r="O10" s="492">
        <f t="shared" si="6"/>
        <v>1</v>
      </c>
    </row>
    <row r="11" spans="1:15" ht="15.75" x14ac:dyDescent="0.25">
      <c r="A11" s="455">
        <v>8</v>
      </c>
      <c r="B11" s="455">
        <v>390160</v>
      </c>
      <c r="C11" s="456" t="s">
        <v>30</v>
      </c>
      <c r="D11" s="457">
        <v>35898</v>
      </c>
      <c r="E11" s="458">
        <f t="shared" si="0"/>
        <v>40340725.527580634</v>
      </c>
      <c r="F11" s="460">
        <v>37593</v>
      </c>
      <c r="G11" s="461">
        <f t="shared" si="1"/>
        <v>11508763.082419358</v>
      </c>
      <c r="H11" s="462">
        <v>10226</v>
      </c>
      <c r="I11" s="458">
        <v>7113512.3799999999</v>
      </c>
      <c r="J11" s="458">
        <f t="shared" si="2"/>
        <v>58963000.989999995</v>
      </c>
      <c r="K11" s="489">
        <v>58963000.989999995</v>
      </c>
      <c r="L11" s="474">
        <f t="shared" si="3"/>
        <v>0.68417015501674239</v>
      </c>
      <c r="M11" s="474">
        <f t="shared" si="4"/>
        <v>0.19518618267701845</v>
      </c>
      <c r="N11" s="474">
        <f t="shared" si="5"/>
        <v>0.12064366230623907</v>
      </c>
      <c r="O11" s="492">
        <f t="shared" si="6"/>
        <v>1</v>
      </c>
    </row>
    <row r="12" spans="1:15" ht="15.75" x14ac:dyDescent="0.25">
      <c r="A12" s="455">
        <v>9</v>
      </c>
      <c r="B12" s="455">
        <v>390210</v>
      </c>
      <c r="C12" s="456" t="s">
        <v>31</v>
      </c>
      <c r="D12" s="457">
        <v>35898</v>
      </c>
      <c r="E12" s="458">
        <f t="shared" si="0"/>
        <v>47430033.511275411</v>
      </c>
      <c r="F12" s="460">
        <v>37593</v>
      </c>
      <c r="G12" s="461">
        <f t="shared" si="1"/>
        <v>14775102.108724594</v>
      </c>
      <c r="H12" s="462">
        <v>10235</v>
      </c>
      <c r="I12" s="458">
        <v>7119773.0499999998</v>
      </c>
      <c r="J12" s="458">
        <f t="shared" si="2"/>
        <v>69324908.670000002</v>
      </c>
      <c r="K12" s="489">
        <v>69324908.670000002</v>
      </c>
      <c r="L12" s="474">
        <f t="shared" si="3"/>
        <v>0.68417015501674239</v>
      </c>
      <c r="M12" s="474">
        <f t="shared" si="4"/>
        <v>0.21312833139177931</v>
      </c>
      <c r="N12" s="474">
        <f t="shared" si="5"/>
        <v>0.10270151359147835</v>
      </c>
      <c r="O12" s="492">
        <f t="shared" si="6"/>
        <v>1</v>
      </c>
    </row>
    <row r="13" spans="1:15" ht="15.75" x14ac:dyDescent="0.25">
      <c r="A13" s="455">
        <v>10</v>
      </c>
      <c r="B13" s="455">
        <v>390220</v>
      </c>
      <c r="C13" s="456" t="s">
        <v>32</v>
      </c>
      <c r="D13" s="457">
        <v>99079</v>
      </c>
      <c r="E13" s="458">
        <f t="shared" si="0"/>
        <v>120693849.90706627</v>
      </c>
      <c r="F13" s="460">
        <v>103758</v>
      </c>
      <c r="G13" s="461">
        <f t="shared" si="1"/>
        <v>36127713.142933741</v>
      </c>
      <c r="H13" s="462">
        <v>28158</v>
      </c>
      <c r="I13" s="458">
        <v>19587549.539999999</v>
      </c>
      <c r="J13" s="458">
        <f t="shared" si="2"/>
        <v>176409112.59</v>
      </c>
      <c r="K13" s="489">
        <v>176409112.59</v>
      </c>
      <c r="L13" s="474">
        <f t="shared" si="3"/>
        <v>0.68417015501674239</v>
      </c>
      <c r="M13" s="474">
        <f t="shared" si="4"/>
        <v>0.20479505062133446</v>
      </c>
      <c r="N13" s="474">
        <f t="shared" si="5"/>
        <v>0.11103479436192315</v>
      </c>
      <c r="O13" s="492">
        <f t="shared" si="6"/>
        <v>1</v>
      </c>
    </row>
    <row r="14" spans="1:15" ht="15.75" x14ac:dyDescent="0.25">
      <c r="A14" s="455">
        <v>11</v>
      </c>
      <c r="B14" s="455">
        <v>390230</v>
      </c>
      <c r="C14" s="456" t="s">
        <v>33</v>
      </c>
      <c r="D14" s="457">
        <v>41642</v>
      </c>
      <c r="E14" s="458">
        <f t="shared" si="0"/>
        <v>53756067.552421905</v>
      </c>
      <c r="F14" s="460">
        <v>43608</v>
      </c>
      <c r="G14" s="461">
        <f t="shared" si="1"/>
        <v>16708256.727578111</v>
      </c>
      <c r="H14" s="462">
        <v>11654</v>
      </c>
      <c r="I14" s="458">
        <v>8106872.0199999996</v>
      </c>
      <c r="J14" s="458">
        <f t="shared" si="2"/>
        <v>78571196.300000012</v>
      </c>
      <c r="K14" s="489">
        <v>78571196.300000012</v>
      </c>
      <c r="L14" s="474">
        <f t="shared" si="3"/>
        <v>0.68417015501674239</v>
      </c>
      <c r="M14" s="474">
        <f t="shared" si="4"/>
        <v>0.21265116880469476</v>
      </c>
      <c r="N14" s="474">
        <f t="shared" si="5"/>
        <v>0.10317867617856288</v>
      </c>
      <c r="O14" s="492">
        <f t="shared" si="6"/>
        <v>1</v>
      </c>
    </row>
    <row r="15" spans="1:15" ht="15.75" x14ac:dyDescent="0.25">
      <c r="A15" s="455">
        <v>12</v>
      </c>
      <c r="B15" s="455">
        <v>390240</v>
      </c>
      <c r="C15" s="456" t="s">
        <v>34</v>
      </c>
      <c r="D15" s="457">
        <v>45950</v>
      </c>
      <c r="E15" s="458">
        <f t="shared" si="0"/>
        <v>63323195.670942396</v>
      </c>
      <c r="F15" s="460">
        <v>48120</v>
      </c>
      <c r="G15" s="461">
        <f t="shared" si="1"/>
        <v>20251663.759057596</v>
      </c>
      <c r="H15" s="462">
        <v>12909</v>
      </c>
      <c r="I15" s="458">
        <v>8979887.6699999999</v>
      </c>
      <c r="J15" s="458">
        <f t="shared" si="2"/>
        <v>92554747.099999994</v>
      </c>
      <c r="K15" s="489">
        <v>92554747.099999994</v>
      </c>
      <c r="L15" s="474">
        <f t="shared" si="3"/>
        <v>0.6841701550167425</v>
      </c>
      <c r="M15" s="474">
        <f t="shared" si="4"/>
        <v>0.21880740203608204</v>
      </c>
      <c r="N15" s="474">
        <f t="shared" si="5"/>
        <v>9.7022442947175436E-2</v>
      </c>
      <c r="O15" s="492">
        <f t="shared" si="6"/>
        <v>1</v>
      </c>
    </row>
    <row r="16" spans="1:15" ht="14.25" customHeight="1" x14ac:dyDescent="0.25">
      <c r="A16" s="455">
        <v>13</v>
      </c>
      <c r="B16" s="455">
        <v>390290</v>
      </c>
      <c r="C16" s="456" t="s">
        <v>35</v>
      </c>
      <c r="D16" s="457">
        <v>12923</v>
      </c>
      <c r="E16" s="458">
        <f t="shared" si="0"/>
        <v>22218681.485922445</v>
      </c>
      <c r="F16" s="460">
        <v>13534</v>
      </c>
      <c r="G16" s="461">
        <f t="shared" si="1"/>
        <v>7617472.0340775512</v>
      </c>
      <c r="H16" s="462">
        <v>3794</v>
      </c>
      <c r="I16" s="458">
        <v>2639220.2200000002</v>
      </c>
      <c r="J16" s="458">
        <f t="shared" si="2"/>
        <v>32475373.739999995</v>
      </c>
      <c r="K16" s="489">
        <v>32475373.739999995</v>
      </c>
      <c r="L16" s="474">
        <f t="shared" si="3"/>
        <v>0.6841701550167425</v>
      </c>
      <c r="M16" s="474">
        <f t="shared" si="4"/>
        <v>0.23456148942468036</v>
      </c>
      <c r="N16" s="474">
        <f t="shared" si="5"/>
        <v>8.1268355558577185E-2</v>
      </c>
      <c r="O16" s="492">
        <f t="shared" si="6"/>
        <v>1</v>
      </c>
    </row>
    <row r="17" spans="1:15" ht="15.75" x14ac:dyDescent="0.25">
      <c r="A17" s="455">
        <v>14</v>
      </c>
      <c r="B17" s="455">
        <v>390380</v>
      </c>
      <c r="C17" s="456" t="s">
        <v>36</v>
      </c>
      <c r="D17" s="457">
        <v>8616</v>
      </c>
      <c r="E17" s="458">
        <f t="shared" si="0"/>
        <v>8912065.469621323</v>
      </c>
      <c r="F17" s="460">
        <v>9021</v>
      </c>
      <c r="G17" s="461">
        <f t="shared" si="1"/>
        <v>2447300.1003786772</v>
      </c>
      <c r="H17" s="462">
        <v>2396</v>
      </c>
      <c r="I17" s="458">
        <v>1666729.48</v>
      </c>
      <c r="J17" s="458">
        <f t="shared" si="2"/>
        <v>13026095.050000001</v>
      </c>
      <c r="K17" s="489">
        <v>13026095.050000001</v>
      </c>
      <c r="L17" s="474">
        <f t="shared" si="3"/>
        <v>0.6841701550167425</v>
      </c>
      <c r="M17" s="474">
        <f t="shared" si="4"/>
        <v>0.18787672675386144</v>
      </c>
      <c r="N17" s="474">
        <f t="shared" si="5"/>
        <v>0.12795311822939598</v>
      </c>
      <c r="O17" s="492">
        <f t="shared" si="6"/>
        <v>1</v>
      </c>
    </row>
    <row r="18" spans="1:15" ht="15.75" x14ac:dyDescent="0.25">
      <c r="A18" s="455">
        <v>15</v>
      </c>
      <c r="B18" s="455">
        <v>390370</v>
      </c>
      <c r="C18" s="456" t="s">
        <v>37</v>
      </c>
      <c r="D18" s="457">
        <v>14359</v>
      </c>
      <c r="E18" s="458">
        <f t="shared" si="0"/>
        <v>15848477.248525539</v>
      </c>
      <c r="F18" s="460">
        <v>15037</v>
      </c>
      <c r="G18" s="461">
        <f t="shared" si="1"/>
        <v>4489008.2914744597</v>
      </c>
      <c r="H18" s="462">
        <v>4064</v>
      </c>
      <c r="I18" s="458">
        <v>2827040.32</v>
      </c>
      <c r="J18" s="458">
        <f t="shared" si="2"/>
        <v>23164525.859999999</v>
      </c>
      <c r="K18" s="489">
        <v>23164525.859999999</v>
      </c>
      <c r="L18" s="474">
        <f t="shared" si="3"/>
        <v>0.6841701550167425</v>
      </c>
      <c r="M18" s="474">
        <f t="shared" si="4"/>
        <v>0.19378804982259454</v>
      </c>
      <c r="N18" s="474">
        <f t="shared" si="5"/>
        <v>0.12204179516066295</v>
      </c>
      <c r="O18" s="492">
        <f t="shared" si="6"/>
        <v>1</v>
      </c>
    </row>
    <row r="19" spans="1:15" ht="15.75" x14ac:dyDescent="0.25">
      <c r="A19" s="455">
        <v>16</v>
      </c>
      <c r="B19" s="455">
        <v>390480</v>
      </c>
      <c r="C19" s="456" t="s">
        <v>96</v>
      </c>
      <c r="D19" s="457">
        <v>50258</v>
      </c>
      <c r="E19" s="458">
        <f t="shared" si="0"/>
        <v>58018130.423208937</v>
      </c>
      <c r="F19" s="460">
        <v>52631</v>
      </c>
      <c r="G19" s="461">
        <f t="shared" si="1"/>
        <v>16729357.49679105</v>
      </c>
      <c r="H19" s="462">
        <v>14452</v>
      </c>
      <c r="I19" s="458">
        <v>10053244.76</v>
      </c>
      <c r="J19" s="458">
        <f t="shared" si="2"/>
        <v>84800732.679999992</v>
      </c>
      <c r="K19" s="489">
        <v>84800732.679999992</v>
      </c>
      <c r="L19" s="474">
        <f t="shared" si="3"/>
        <v>0.6841701550167425</v>
      </c>
      <c r="M19" s="474">
        <f t="shared" si="4"/>
        <v>0.19727845465581242</v>
      </c>
      <c r="N19" s="474">
        <f t="shared" si="5"/>
        <v>0.11855139032744499</v>
      </c>
      <c r="O19" s="492">
        <f t="shared" si="6"/>
        <v>0.99999999999999989</v>
      </c>
    </row>
    <row r="20" spans="1:15" ht="15.75" x14ac:dyDescent="0.25">
      <c r="A20" s="455">
        <v>17</v>
      </c>
      <c r="B20" s="455">
        <v>390260</v>
      </c>
      <c r="C20" s="456" t="s">
        <v>38</v>
      </c>
      <c r="D20" s="457">
        <v>22975</v>
      </c>
      <c r="E20" s="458">
        <f t="shared" si="0"/>
        <v>34039554.756678484</v>
      </c>
      <c r="F20" s="460">
        <v>24060</v>
      </c>
      <c r="G20" s="461">
        <f t="shared" si="1"/>
        <v>11224598.983321518</v>
      </c>
      <c r="H20" s="462">
        <v>6453</v>
      </c>
      <c r="I20" s="458">
        <v>4488900.3899999997</v>
      </c>
      <c r="J20" s="458">
        <f t="shared" si="2"/>
        <v>49753054.130000003</v>
      </c>
      <c r="K20" s="489">
        <v>49753054.130000003</v>
      </c>
      <c r="L20" s="474">
        <f t="shared" si="3"/>
        <v>0.6841701550167425</v>
      </c>
      <c r="M20" s="474">
        <f t="shared" si="4"/>
        <v>0.22560623020232501</v>
      </c>
      <c r="N20" s="474">
        <f t="shared" si="5"/>
        <v>9.0223614780932437E-2</v>
      </c>
      <c r="O20" s="492">
        <f t="shared" si="6"/>
        <v>0.99999999999999989</v>
      </c>
    </row>
    <row r="21" spans="1:15" ht="15.75" x14ac:dyDescent="0.25">
      <c r="A21" s="455">
        <v>18</v>
      </c>
      <c r="B21" s="455">
        <v>390250</v>
      </c>
      <c r="C21" s="456" t="s">
        <v>39</v>
      </c>
      <c r="D21" s="457">
        <v>17231</v>
      </c>
      <c r="E21" s="458">
        <f t="shared" si="0"/>
        <v>28607800.736135546</v>
      </c>
      <c r="F21" s="460">
        <v>18045</v>
      </c>
      <c r="G21" s="461">
        <f t="shared" si="1"/>
        <v>9878173.6138644479</v>
      </c>
      <c r="H21" s="462">
        <v>4784</v>
      </c>
      <c r="I21" s="458">
        <v>3327893.92</v>
      </c>
      <c r="J21" s="458">
        <f t="shared" si="2"/>
        <v>41813868.269999996</v>
      </c>
      <c r="K21" s="489">
        <v>41813868.269999996</v>
      </c>
      <c r="L21" s="474">
        <f t="shared" si="3"/>
        <v>0.6841701550167425</v>
      </c>
      <c r="M21" s="474">
        <f t="shared" si="4"/>
        <v>0.23624156344682645</v>
      </c>
      <c r="N21" s="474">
        <f t="shared" si="5"/>
        <v>7.9588281536431035E-2</v>
      </c>
      <c r="O21" s="492">
        <f t="shared" si="6"/>
        <v>1</v>
      </c>
    </row>
    <row r="22" spans="1:15" ht="15.75" x14ac:dyDescent="0.25">
      <c r="A22" s="455">
        <v>19</v>
      </c>
      <c r="B22" s="455">
        <v>390300</v>
      </c>
      <c r="C22" s="456" t="s">
        <v>40</v>
      </c>
      <c r="D22" s="457">
        <v>15795</v>
      </c>
      <c r="E22" s="458">
        <f t="shared" si="0"/>
        <v>28210649.252179038</v>
      </c>
      <c r="F22" s="460">
        <v>16541</v>
      </c>
      <c r="G22" s="461">
        <f t="shared" si="1"/>
        <v>9935526.6578209661</v>
      </c>
      <c r="H22" s="462">
        <v>4438</v>
      </c>
      <c r="I22" s="458">
        <v>3087205.94</v>
      </c>
      <c r="J22" s="458">
        <f t="shared" si="2"/>
        <v>41233381.850000001</v>
      </c>
      <c r="K22" s="489">
        <v>41233381.850000001</v>
      </c>
      <c r="L22" s="474">
        <f t="shared" si="3"/>
        <v>0.6841701550167425</v>
      </c>
      <c r="M22" s="474">
        <f t="shared" si="4"/>
        <v>0.24095832580419221</v>
      </c>
      <c r="N22" s="474">
        <f t="shared" si="5"/>
        <v>7.4871519179065343E-2</v>
      </c>
      <c r="O22" s="492">
        <f t="shared" si="6"/>
        <v>1</v>
      </c>
    </row>
    <row r="23" spans="1:15" ht="15.75" x14ac:dyDescent="0.25">
      <c r="A23" s="455">
        <v>20</v>
      </c>
      <c r="B23" s="455">
        <v>390310</v>
      </c>
      <c r="C23" s="456" t="s">
        <v>117</v>
      </c>
      <c r="D23" s="457">
        <v>22975</v>
      </c>
      <c r="E23" s="458">
        <f t="shared" si="0"/>
        <v>32902068.850776136</v>
      </c>
      <c r="F23" s="460">
        <v>24060</v>
      </c>
      <c r="G23" s="461">
        <f t="shared" si="1"/>
        <v>10707159.319223873</v>
      </c>
      <c r="H23" s="462">
        <v>6442</v>
      </c>
      <c r="I23" s="458">
        <v>4481248.46</v>
      </c>
      <c r="J23" s="458">
        <f t="shared" si="2"/>
        <v>48090476.63000001</v>
      </c>
      <c r="K23" s="489">
        <v>48090476.63000001</v>
      </c>
      <c r="L23" s="474">
        <f t="shared" si="3"/>
        <v>0.68417015501674239</v>
      </c>
      <c r="M23" s="474">
        <f t="shared" si="4"/>
        <v>0.22264614679540287</v>
      </c>
      <c r="N23" s="474">
        <f t="shared" si="5"/>
        <v>9.3183698187854686E-2</v>
      </c>
      <c r="O23" s="492">
        <f t="shared" si="6"/>
        <v>0.99999999999999989</v>
      </c>
    </row>
    <row r="24" spans="1:15" ht="15.75" x14ac:dyDescent="0.25">
      <c r="A24" s="455">
        <v>21</v>
      </c>
      <c r="B24" s="455">
        <v>390320</v>
      </c>
      <c r="C24" s="456" t="s">
        <v>102</v>
      </c>
      <c r="D24" s="457">
        <v>22975</v>
      </c>
      <c r="E24" s="458">
        <f t="shared" si="0"/>
        <v>34485459.692753866</v>
      </c>
      <c r="F24" s="460">
        <v>24060</v>
      </c>
      <c r="G24" s="461">
        <f t="shared" si="1"/>
        <v>11435309.127246127</v>
      </c>
      <c r="H24" s="462">
        <v>6446</v>
      </c>
      <c r="I24" s="458">
        <v>4484030.9800000004</v>
      </c>
      <c r="J24" s="458">
        <f t="shared" si="2"/>
        <v>50404799.799999997</v>
      </c>
      <c r="K24" s="489">
        <v>50404799.799999997</v>
      </c>
      <c r="L24" s="474">
        <f t="shared" si="3"/>
        <v>0.68417015501674239</v>
      </c>
      <c r="M24" s="474">
        <f t="shared" si="4"/>
        <v>0.22686944839816878</v>
      </c>
      <c r="N24" s="474">
        <f t="shared" si="5"/>
        <v>8.8960396585088725E-2</v>
      </c>
      <c r="O24" s="492">
        <f t="shared" si="6"/>
        <v>0.99999999999999989</v>
      </c>
    </row>
    <row r="25" spans="1:15" ht="15.75" x14ac:dyDescent="0.25">
      <c r="A25" s="455">
        <v>22</v>
      </c>
      <c r="B25" s="455">
        <v>390180</v>
      </c>
      <c r="C25" s="456" t="s">
        <v>43</v>
      </c>
      <c r="D25" s="457">
        <v>38770</v>
      </c>
      <c r="E25" s="458">
        <f t="shared" si="0"/>
        <v>42469142.653028026</v>
      </c>
      <c r="F25" s="460">
        <v>40601</v>
      </c>
      <c r="G25" s="461">
        <f t="shared" si="1"/>
        <v>11943832.196971983</v>
      </c>
      <c r="H25" s="462">
        <v>11013</v>
      </c>
      <c r="I25" s="458">
        <v>7660973.1900000004</v>
      </c>
      <c r="J25" s="458">
        <f t="shared" si="2"/>
        <v>62073948.040000007</v>
      </c>
      <c r="K25" s="489">
        <v>62073948.040000007</v>
      </c>
      <c r="L25" s="474">
        <f t="shared" si="3"/>
        <v>0.6841701550167425</v>
      </c>
      <c r="M25" s="474">
        <f t="shared" si="4"/>
        <v>0.1924129618640571</v>
      </c>
      <c r="N25" s="474">
        <f t="shared" si="5"/>
        <v>0.12341688311920042</v>
      </c>
      <c r="O25" s="492">
        <f t="shared" si="6"/>
        <v>1</v>
      </c>
    </row>
    <row r="26" spans="1:15" ht="15.75" x14ac:dyDescent="0.25">
      <c r="A26" s="455">
        <v>23</v>
      </c>
      <c r="B26" s="455">
        <v>390270</v>
      </c>
      <c r="C26" s="456" t="s">
        <v>100</v>
      </c>
      <c r="D26" s="457">
        <v>21539</v>
      </c>
      <c r="E26" s="458">
        <f t="shared" si="0"/>
        <v>35535138.017347001</v>
      </c>
      <c r="F26" s="460">
        <v>22556</v>
      </c>
      <c r="G26" s="461">
        <f t="shared" si="1"/>
        <v>12065253.242652997</v>
      </c>
      <c r="H26" s="462">
        <v>6237</v>
      </c>
      <c r="I26" s="458">
        <v>4338644.3099999996</v>
      </c>
      <c r="J26" s="458">
        <f t="shared" si="2"/>
        <v>51939035.57</v>
      </c>
      <c r="K26" s="489">
        <v>51939035.57</v>
      </c>
      <c r="L26" s="474">
        <f t="shared" si="3"/>
        <v>0.6841701550167425</v>
      </c>
      <c r="M26" s="474">
        <f t="shared" si="4"/>
        <v>0.23229644351775161</v>
      </c>
      <c r="N26" s="474">
        <f t="shared" si="5"/>
        <v>8.3533401465505877E-2</v>
      </c>
      <c r="O26" s="492">
        <f t="shared" si="6"/>
        <v>1</v>
      </c>
    </row>
    <row r="27" spans="1:15" ht="15.75" x14ac:dyDescent="0.25">
      <c r="A27" s="455">
        <v>24</v>
      </c>
      <c r="B27" s="455">
        <v>390190</v>
      </c>
      <c r="C27" s="456" t="s">
        <v>45</v>
      </c>
      <c r="D27" s="457">
        <v>47386</v>
      </c>
      <c r="E27" s="458">
        <f t="shared" si="0"/>
        <v>54583596.949720144</v>
      </c>
      <c r="F27" s="460">
        <v>49623</v>
      </c>
      <c r="G27" s="461">
        <f t="shared" si="1"/>
        <v>15769959.000279844</v>
      </c>
      <c r="H27" s="462">
        <v>13552</v>
      </c>
      <c r="I27" s="458">
        <v>9427177.7599999998</v>
      </c>
      <c r="J27" s="458">
        <f t="shared" si="2"/>
        <v>79780733.709999993</v>
      </c>
      <c r="K27" s="489">
        <v>79780733.709999993</v>
      </c>
      <c r="L27" s="474">
        <f t="shared" si="3"/>
        <v>0.68417015501674239</v>
      </c>
      <c r="M27" s="474">
        <f t="shared" si="4"/>
        <v>0.19766625683843744</v>
      </c>
      <c r="N27" s="474">
        <f t="shared" si="5"/>
        <v>0.11816358814482004</v>
      </c>
      <c r="O27" s="492">
        <f t="shared" si="6"/>
        <v>0.99999999999999989</v>
      </c>
    </row>
    <row r="28" spans="1:15" ht="15.75" x14ac:dyDescent="0.25">
      <c r="A28" s="455">
        <v>25</v>
      </c>
      <c r="B28" s="455">
        <v>390280</v>
      </c>
      <c r="C28" s="456" t="s">
        <v>101</v>
      </c>
      <c r="D28" s="457">
        <v>56001</v>
      </c>
      <c r="E28" s="458">
        <f t="shared" si="0"/>
        <v>72409826.895631567</v>
      </c>
      <c r="F28" s="460">
        <v>58646</v>
      </c>
      <c r="G28" s="461">
        <f t="shared" si="1"/>
        <v>22239043.214368418</v>
      </c>
      <c r="H28" s="462">
        <v>16082</v>
      </c>
      <c r="I28" s="458">
        <v>11187121.66</v>
      </c>
      <c r="J28" s="458">
        <f t="shared" si="2"/>
        <v>105835991.76999998</v>
      </c>
      <c r="K28" s="489">
        <v>105835991.76999998</v>
      </c>
      <c r="L28" s="474">
        <f t="shared" si="3"/>
        <v>0.6841701550167425</v>
      </c>
      <c r="M28" s="474">
        <f t="shared" si="4"/>
        <v>0.21012741358060619</v>
      </c>
      <c r="N28" s="474">
        <f t="shared" si="5"/>
        <v>0.1057024314026514</v>
      </c>
      <c r="O28" s="492">
        <f t="shared" si="6"/>
        <v>1</v>
      </c>
    </row>
    <row r="29" spans="1:15" ht="15.75" x14ac:dyDescent="0.25">
      <c r="A29" s="455">
        <v>26</v>
      </c>
      <c r="B29" s="455">
        <v>390600</v>
      </c>
      <c r="C29" s="456" t="s">
        <v>118</v>
      </c>
      <c r="D29" s="457">
        <v>18667</v>
      </c>
      <c r="E29" s="458">
        <f t="shared" si="0"/>
        <v>19389138.669649504</v>
      </c>
      <c r="F29" s="460">
        <v>19549</v>
      </c>
      <c r="G29" s="461">
        <f t="shared" si="1"/>
        <v>5209407.2503504939</v>
      </c>
      <c r="H29" s="462">
        <v>5378</v>
      </c>
      <c r="I29" s="458">
        <v>3741098.14</v>
      </c>
      <c r="J29" s="458">
        <f t="shared" si="2"/>
        <v>28339644.059999999</v>
      </c>
      <c r="K29" s="489">
        <v>28339644.059999999</v>
      </c>
      <c r="L29" s="474">
        <f t="shared" si="3"/>
        <v>0.6841701550167425</v>
      </c>
      <c r="M29" s="474">
        <f t="shared" si="4"/>
        <v>0.18382048974649309</v>
      </c>
      <c r="N29" s="474">
        <f t="shared" si="5"/>
        <v>0.13200935523676441</v>
      </c>
      <c r="O29" s="492">
        <f t="shared" si="6"/>
        <v>1</v>
      </c>
    </row>
    <row r="30" spans="1:15" ht="15.75" x14ac:dyDescent="0.25">
      <c r="A30" s="455">
        <v>27</v>
      </c>
      <c r="B30" s="455">
        <v>390340</v>
      </c>
      <c r="C30" s="456" t="s">
        <v>119</v>
      </c>
      <c r="D30" s="457">
        <v>17231</v>
      </c>
      <c r="E30" s="458">
        <f t="shared" si="0"/>
        <v>15534562.227188338</v>
      </c>
      <c r="F30" s="460">
        <v>18045</v>
      </c>
      <c r="G30" s="461">
        <f t="shared" si="1"/>
        <v>3654032.4028116651</v>
      </c>
      <c r="H30" s="462">
        <v>5056</v>
      </c>
      <c r="I30" s="458">
        <v>3517105.28</v>
      </c>
      <c r="J30" s="458">
        <f t="shared" si="2"/>
        <v>22705699.910000004</v>
      </c>
      <c r="K30" s="489">
        <v>22705699.910000004</v>
      </c>
      <c r="L30" s="474">
        <f t="shared" si="3"/>
        <v>0.6841701550167425</v>
      </c>
      <c r="M30" s="474">
        <f t="shared" si="4"/>
        <v>0.16093018128907635</v>
      </c>
      <c r="N30" s="474">
        <f t="shared" si="5"/>
        <v>0.15489966369418115</v>
      </c>
      <c r="O30" s="492">
        <f t="shared" si="6"/>
        <v>1</v>
      </c>
    </row>
    <row r="31" spans="1:15" s="468" customFormat="1" ht="15.75" x14ac:dyDescent="0.25">
      <c r="A31" s="477"/>
      <c r="B31" s="477"/>
      <c r="C31" s="463" t="s">
        <v>247</v>
      </c>
      <c r="D31" s="464">
        <f t="shared" ref="D31:K31" si="7">SUM(D4:D30)</f>
        <v>1435931</v>
      </c>
      <c r="E31" s="465">
        <f t="shared" si="7"/>
        <v>1641480386.3690801</v>
      </c>
      <c r="F31" s="483">
        <f t="shared" si="7"/>
        <v>1503739</v>
      </c>
      <c r="G31" s="484">
        <f t="shared" si="7"/>
        <v>473502294.57092011</v>
      </c>
      <c r="H31" s="485">
        <f t="shared" si="7"/>
        <v>408617</v>
      </c>
      <c r="I31" s="486">
        <f t="shared" si="7"/>
        <v>284245602.15999991</v>
      </c>
      <c r="J31" s="486">
        <f t="shared" si="7"/>
        <v>2399228283.0999999</v>
      </c>
      <c r="K31" s="486">
        <f t="shared" si="7"/>
        <v>2399228283.0999999</v>
      </c>
      <c r="L31" s="474">
        <f t="shared" si="3"/>
        <v>0.68417015501674261</v>
      </c>
      <c r="M31" s="474">
        <f t="shared" si="4"/>
        <v>0.19735608233123872</v>
      </c>
      <c r="N31" s="474">
        <f t="shared" si="5"/>
        <v>0.11847376265201878</v>
      </c>
      <c r="O31" s="492">
        <f t="shared" si="6"/>
        <v>1</v>
      </c>
    </row>
    <row r="32" spans="1:15" ht="15.75" x14ac:dyDescent="0.25">
      <c r="E32" s="490">
        <v>1641480386.3690801</v>
      </c>
      <c r="F32" s="482"/>
      <c r="G32" s="487"/>
      <c r="H32" s="476"/>
      <c r="I32" s="480"/>
      <c r="J32" s="476"/>
    </row>
    <row r="33" spans="5:10" x14ac:dyDescent="0.25">
      <c r="E33" s="449">
        <f>E32/E31</f>
        <v>1</v>
      </c>
      <c r="J33" s="481"/>
    </row>
    <row r="34" spans="5:10" x14ac:dyDescent="0.25">
      <c r="E34" s="468">
        <v>0.99545094521261557</v>
      </c>
    </row>
  </sheetData>
  <mergeCells count="1">
    <mergeCell ref="B1:J1"/>
  </mergeCells>
  <pageMargins left="0.2" right="0.2" top="0.17" bottom="0.17" header="0.17" footer="0.17"/>
  <pageSetup paperSize="9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511F-9A13-4A0F-8FC4-2DE6A03B1F2C}">
  <sheetPr>
    <tabColor theme="8" tint="0.39997558519241921"/>
    <pageSetUpPr fitToPage="1"/>
  </sheetPr>
  <dimension ref="A1:U43"/>
  <sheetViews>
    <sheetView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U36" sqref="U36"/>
    </sheetView>
  </sheetViews>
  <sheetFormatPr defaultRowHeight="15" x14ac:dyDescent="0.25"/>
  <cols>
    <col min="1" max="1" width="5.42578125" style="449" customWidth="1"/>
    <col min="2" max="2" width="9.140625" style="449"/>
    <col min="3" max="3" width="35.140625" style="449" customWidth="1"/>
    <col min="4" max="4" width="12.42578125" style="449" customWidth="1"/>
    <col min="5" max="5" width="19.85546875" style="449" customWidth="1"/>
    <col min="6" max="6" width="20.85546875" style="449" customWidth="1"/>
    <col min="7" max="7" width="15.140625" style="449" customWidth="1"/>
    <col min="8" max="8" width="18" style="449" customWidth="1"/>
    <col min="9" max="9" width="21.7109375" style="449" customWidth="1"/>
    <col min="10" max="10" width="15.5703125" style="449" customWidth="1"/>
    <col min="11" max="11" width="20.5703125" style="449" customWidth="1"/>
    <col min="12" max="12" width="20" style="466" customWidth="1"/>
    <col min="13" max="13" width="19.7109375" style="466" customWidth="1"/>
    <col min="14" max="14" width="5.85546875" style="449" customWidth="1"/>
    <col min="15" max="17" width="9.140625" style="449"/>
    <col min="18" max="18" width="5.140625" style="449" customWidth="1"/>
    <col min="19" max="16384" width="9.140625" style="449"/>
  </cols>
  <sheetData>
    <row r="1" spans="1:21" ht="18.75" x14ac:dyDescent="0.3">
      <c r="A1" s="448"/>
      <c r="B1" s="625" t="s">
        <v>259</v>
      </c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473"/>
    </row>
    <row r="2" spans="1:21" s="452" customFormat="1" ht="47.25" customHeight="1" x14ac:dyDescent="0.25">
      <c r="A2" s="450" t="s">
        <v>4</v>
      </c>
      <c r="B2" s="451" t="s">
        <v>163</v>
      </c>
      <c r="C2" s="451" t="s">
        <v>240</v>
      </c>
      <c r="D2" s="450" t="s">
        <v>241</v>
      </c>
      <c r="E2" s="451" t="s">
        <v>242</v>
      </c>
      <c r="F2" s="451" t="s">
        <v>254</v>
      </c>
      <c r="G2" s="450" t="s">
        <v>244</v>
      </c>
      <c r="H2" s="451" t="s">
        <v>245</v>
      </c>
      <c r="I2" s="450" t="s">
        <v>255</v>
      </c>
      <c r="J2" s="450" t="s">
        <v>246</v>
      </c>
      <c r="K2" s="450" t="s">
        <v>243</v>
      </c>
      <c r="L2" s="450" t="s">
        <v>75</v>
      </c>
      <c r="M2" s="450" t="s">
        <v>258</v>
      </c>
      <c r="O2" s="452" t="s">
        <v>256</v>
      </c>
      <c r="P2" s="452" t="s">
        <v>257</v>
      </c>
      <c r="S2" s="452" t="s">
        <v>256</v>
      </c>
      <c r="T2" s="452" t="s">
        <v>257</v>
      </c>
    </row>
    <row r="3" spans="1:21" ht="15" customHeight="1" x14ac:dyDescent="0.25">
      <c r="A3" s="453"/>
      <c r="B3" s="454">
        <v>1</v>
      </c>
      <c r="C3" s="454">
        <v>2</v>
      </c>
      <c r="D3" s="454">
        <v>3</v>
      </c>
      <c r="E3" s="454">
        <v>4</v>
      </c>
      <c r="F3" s="454">
        <v>5</v>
      </c>
      <c r="G3" s="454">
        <v>6</v>
      </c>
      <c r="H3" s="454">
        <v>7</v>
      </c>
      <c r="I3" s="454">
        <v>8</v>
      </c>
      <c r="J3" s="454">
        <v>9</v>
      </c>
      <c r="K3" s="454">
        <v>10</v>
      </c>
      <c r="L3" s="454">
        <v>11</v>
      </c>
      <c r="M3" s="454">
        <v>12</v>
      </c>
    </row>
    <row r="4" spans="1:21" ht="15.75" x14ac:dyDescent="0.25">
      <c r="A4" s="455">
        <v>1</v>
      </c>
      <c r="B4" s="455">
        <v>390440</v>
      </c>
      <c r="C4" s="456" t="s">
        <v>95</v>
      </c>
      <c r="D4" s="457">
        <v>133543</v>
      </c>
      <c r="E4" s="458">
        <v>155055441.87</v>
      </c>
      <c r="F4" s="459">
        <f>'АПП Баз (1)'!E20*1000-'АПП Баз (1)'!H20*1000</f>
        <v>114712257.74000001</v>
      </c>
      <c r="G4" s="460">
        <v>139848</v>
      </c>
      <c r="H4" s="461">
        <v>44028345.840000004</v>
      </c>
      <c r="I4" s="459">
        <f>M4-F4-K4</f>
        <v>17072041.28999998</v>
      </c>
      <c r="J4" s="462">
        <v>38121</v>
      </c>
      <c r="K4" s="458">
        <v>26518111.23</v>
      </c>
      <c r="L4" s="458">
        <f>E4+H4+K4</f>
        <v>225601898.94</v>
      </c>
      <c r="M4" s="475">
        <v>158302410.25999999</v>
      </c>
      <c r="O4" s="474">
        <f>E4/$L4</f>
        <v>0.68729670538472643</v>
      </c>
      <c r="P4" s="474">
        <f>H4/$L4</f>
        <v>0.19515946473353743</v>
      </c>
      <c r="Q4" s="474">
        <f>K4/$L4</f>
        <v>0.11754382988173619</v>
      </c>
      <c r="S4" s="474">
        <f>F4/M4</f>
        <v>0.72463999475177676</v>
      </c>
      <c r="T4" s="474">
        <f>I4/M4</f>
        <v>0.10784448109135178</v>
      </c>
      <c r="U4" s="474">
        <f>K4/M4</f>
        <v>0.16751552415687143</v>
      </c>
    </row>
    <row r="5" spans="1:21" ht="15.75" x14ac:dyDescent="0.25">
      <c r="A5" s="455">
        <v>2</v>
      </c>
      <c r="B5" s="455">
        <v>390100</v>
      </c>
      <c r="C5" s="456" t="s">
        <v>93</v>
      </c>
      <c r="D5" s="457">
        <v>107695</v>
      </c>
      <c r="E5" s="458">
        <v>125043587.55</v>
      </c>
      <c r="F5" s="459">
        <f>'АПП Баз (1)'!E21*1000-'АПП Баз (1)'!H21*1000</f>
        <v>87658695.120000005</v>
      </c>
      <c r="G5" s="460">
        <v>112780</v>
      </c>
      <c r="H5" s="461">
        <v>35506527.399999999</v>
      </c>
      <c r="I5" s="459">
        <f t="shared" ref="I5:I30" si="0">M5-F5-K5</f>
        <v>19165342.470000003</v>
      </c>
      <c r="J5" s="462">
        <v>30474</v>
      </c>
      <c r="K5" s="458">
        <v>21198628.620000001</v>
      </c>
      <c r="L5" s="458">
        <f t="shared" ref="L5:L30" si="1">E5+H5+K5</f>
        <v>181748743.56999999</v>
      </c>
      <c r="M5" s="475">
        <v>128022666.21000001</v>
      </c>
      <c r="O5" s="474">
        <f t="shared" ref="O5:O31" si="2">E5/$L5</f>
        <v>0.68800248680585696</v>
      </c>
      <c r="P5" s="474">
        <f t="shared" ref="P5:P31" si="3">H5/$L5</f>
        <v>0.19536051090402595</v>
      </c>
      <c r="Q5" s="474">
        <f t="shared" ref="Q5:Q31" si="4">K5/$L5</f>
        <v>0.11663700229011713</v>
      </c>
      <c r="S5" s="474">
        <f t="shared" ref="S5:S31" si="5">F5/M5</f>
        <v>0.68471230693016827</v>
      </c>
      <c r="T5" s="474">
        <f t="shared" ref="T5:T31" si="6">I5/M5</f>
        <v>0.14970272872275936</v>
      </c>
      <c r="U5" s="474">
        <f t="shared" ref="U5:U31" si="7">K5/M5</f>
        <v>0.1655849643470724</v>
      </c>
    </row>
    <row r="6" spans="1:21" ht="15.75" x14ac:dyDescent="0.25">
      <c r="A6" s="455">
        <v>3</v>
      </c>
      <c r="B6" s="455">
        <v>390090</v>
      </c>
      <c r="C6" s="456" t="s">
        <v>92</v>
      </c>
      <c r="D6" s="457">
        <v>106259</v>
      </c>
      <c r="E6" s="458">
        <v>123376262.31</v>
      </c>
      <c r="F6" s="459">
        <f>'АПП Баз (1)'!E22*1000-'АПП Баз (1)'!H22*1000</f>
        <v>83870829.459999993</v>
      </c>
      <c r="G6" s="460">
        <v>111277</v>
      </c>
      <c r="H6" s="461">
        <v>35033337.909999996</v>
      </c>
      <c r="I6" s="459">
        <f t="shared" si="0"/>
        <v>17581638.450000003</v>
      </c>
      <c r="J6" s="462">
        <v>30128</v>
      </c>
      <c r="K6" s="458">
        <v>20957940.640000001</v>
      </c>
      <c r="L6" s="458">
        <f t="shared" si="1"/>
        <v>179367540.86000001</v>
      </c>
      <c r="M6" s="475">
        <v>122410408.55</v>
      </c>
      <c r="O6" s="474">
        <f t="shared" si="2"/>
        <v>0.68784051851554162</v>
      </c>
      <c r="P6" s="474">
        <f t="shared" si="3"/>
        <v>0.19531592919225124</v>
      </c>
      <c r="Q6" s="474">
        <f t="shared" si="4"/>
        <v>0.11684355229220707</v>
      </c>
      <c r="S6" s="474">
        <f t="shared" si="5"/>
        <v>0.68516093078589757</v>
      </c>
      <c r="T6" s="474">
        <f t="shared" si="6"/>
        <v>0.14362862323769282</v>
      </c>
      <c r="U6" s="474">
        <f t="shared" si="7"/>
        <v>0.17121044597640958</v>
      </c>
    </row>
    <row r="7" spans="1:21" ht="15.75" x14ac:dyDescent="0.25">
      <c r="A7" s="455">
        <v>4</v>
      </c>
      <c r="B7" s="455">
        <v>390400</v>
      </c>
      <c r="C7" s="456" t="s">
        <v>94</v>
      </c>
      <c r="D7" s="457">
        <v>228313</v>
      </c>
      <c r="E7" s="458">
        <v>265091941.16999999</v>
      </c>
      <c r="F7" s="459">
        <f>'АПП Баз (1)'!E23*1000-'АПП Баз (1)'!H23*1000</f>
        <v>317210291.55000001</v>
      </c>
      <c r="G7" s="460">
        <v>239094</v>
      </c>
      <c r="H7" s="461">
        <v>75273964.019999996</v>
      </c>
      <c r="I7" s="459">
        <f t="shared" si="0"/>
        <v>-89086533.579999954</v>
      </c>
      <c r="J7" s="462">
        <v>65091</v>
      </c>
      <c r="K7" s="458">
        <v>45278610.780000001</v>
      </c>
      <c r="L7" s="458">
        <f t="shared" si="1"/>
        <v>385644515.97000003</v>
      </c>
      <c r="M7" s="475">
        <v>273402368.75000006</v>
      </c>
      <c r="O7" s="474">
        <f t="shared" si="2"/>
        <v>0.68739974300742279</v>
      </c>
      <c r="P7" s="474">
        <f t="shared" si="3"/>
        <v>0.19519002838836089</v>
      </c>
      <c r="Q7" s="474">
        <f t="shared" si="4"/>
        <v>0.11741022860421618</v>
      </c>
      <c r="S7" s="474">
        <f t="shared" si="5"/>
        <v>1.1602324186154291</v>
      </c>
      <c r="T7" s="474">
        <f t="shared" si="6"/>
        <v>-0.32584404439253761</v>
      </c>
      <c r="U7" s="474">
        <f t="shared" si="7"/>
        <v>0.16561162577710839</v>
      </c>
    </row>
    <row r="8" spans="1:21" ht="15.75" x14ac:dyDescent="0.25">
      <c r="A8" s="455">
        <v>5</v>
      </c>
      <c r="B8" s="455">
        <v>390110</v>
      </c>
      <c r="C8" s="456" t="s">
        <v>99</v>
      </c>
      <c r="D8" s="457">
        <v>17231</v>
      </c>
      <c r="E8" s="458">
        <v>20006741.789999999</v>
      </c>
      <c r="F8" s="459">
        <f>'АПП Баз (1)'!E24*1000-'АПП Баз (1)'!H24*1000</f>
        <v>11283260.529999999</v>
      </c>
      <c r="G8" s="460">
        <v>18045</v>
      </c>
      <c r="H8" s="461">
        <v>5681107.3499999996</v>
      </c>
      <c r="I8" s="459">
        <f t="shared" si="0"/>
        <v>2661884.9200000032</v>
      </c>
      <c r="J8" s="462">
        <v>4886</v>
      </c>
      <c r="K8" s="458">
        <v>3398848.18</v>
      </c>
      <c r="L8" s="458">
        <f t="shared" si="1"/>
        <v>29086697.32</v>
      </c>
      <c r="M8" s="475">
        <v>17343993.630000003</v>
      </c>
      <c r="O8" s="474">
        <f t="shared" si="2"/>
        <v>0.68783133299370403</v>
      </c>
      <c r="P8" s="474">
        <f t="shared" si="3"/>
        <v>0.19531634298314346</v>
      </c>
      <c r="Q8" s="474">
        <f t="shared" si="4"/>
        <v>0.11685232402315246</v>
      </c>
      <c r="S8" s="474">
        <f t="shared" si="5"/>
        <v>0.6505572344355155</v>
      </c>
      <c r="T8" s="474">
        <f t="shared" si="6"/>
        <v>0.15347589354482499</v>
      </c>
      <c r="U8" s="474">
        <f t="shared" si="7"/>
        <v>0.19596687201965951</v>
      </c>
    </row>
    <row r="9" spans="1:21" ht="15.75" x14ac:dyDescent="0.25">
      <c r="A9" s="455">
        <v>6</v>
      </c>
      <c r="B9" s="455">
        <v>390890</v>
      </c>
      <c r="C9" s="456" t="s">
        <v>116</v>
      </c>
      <c r="D9" s="457">
        <v>162260</v>
      </c>
      <c r="E9" s="458">
        <v>188401514.11000001</v>
      </c>
      <c r="F9" s="459">
        <f>'АПП Баз (1)'!E25*1000-'АПП Баз (1)'!H25*1000</f>
        <v>295277505.81</v>
      </c>
      <c r="G9" s="460">
        <v>169924</v>
      </c>
      <c r="H9" s="461">
        <v>53499075.270000003</v>
      </c>
      <c r="I9" s="459">
        <f t="shared" si="0"/>
        <v>89944216.300000042</v>
      </c>
      <c r="J9" s="462">
        <v>46368</v>
      </c>
      <c r="K9" s="458">
        <v>32254971.84</v>
      </c>
      <c r="L9" s="458">
        <f t="shared" si="1"/>
        <v>274155561.22000003</v>
      </c>
      <c r="M9" s="475">
        <v>417476693.95000005</v>
      </c>
      <c r="O9" s="474">
        <f t="shared" si="2"/>
        <v>0.68720661098978963</v>
      </c>
      <c r="P9" s="474">
        <f t="shared" si="3"/>
        <v>0.19514130967078544</v>
      </c>
      <c r="Q9" s="474">
        <f t="shared" si="4"/>
        <v>0.11765207933942488</v>
      </c>
      <c r="S9" s="474">
        <f t="shared" si="5"/>
        <v>0.70729099393836947</v>
      </c>
      <c r="T9" s="474">
        <f t="shared" si="6"/>
        <v>0.21544727550892312</v>
      </c>
      <c r="U9" s="474">
        <f t="shared" si="7"/>
        <v>7.7261730552707408E-2</v>
      </c>
    </row>
    <row r="10" spans="1:21" ht="15.75" x14ac:dyDescent="0.25">
      <c r="A10" s="455">
        <v>7</v>
      </c>
      <c r="B10" s="455">
        <v>390200</v>
      </c>
      <c r="C10" s="456" t="s">
        <v>29</v>
      </c>
      <c r="D10" s="457">
        <v>34462</v>
      </c>
      <c r="E10" s="458">
        <v>40013483.579999998</v>
      </c>
      <c r="F10" s="459">
        <f>'АПП Баз (1)'!E26*1000-'АПП Баз (1)'!H26*1000</f>
        <v>36721384.089999996</v>
      </c>
      <c r="G10" s="460">
        <v>36090</v>
      </c>
      <c r="H10" s="461">
        <v>11362214.699999999</v>
      </c>
      <c r="I10" s="459">
        <f t="shared" si="0"/>
        <v>27484769.540000007</v>
      </c>
      <c r="J10" s="462">
        <v>9780</v>
      </c>
      <c r="K10" s="458">
        <v>6803261.4000000004</v>
      </c>
      <c r="L10" s="458">
        <f t="shared" si="1"/>
        <v>58178959.68</v>
      </c>
      <c r="M10" s="475">
        <v>71009415.030000001</v>
      </c>
      <c r="O10" s="474">
        <f t="shared" si="2"/>
        <v>0.68776553929607831</v>
      </c>
      <c r="P10" s="474">
        <f t="shared" si="3"/>
        <v>0.19529766022794581</v>
      </c>
      <c r="Q10" s="474">
        <f t="shared" si="4"/>
        <v>0.11693680047597579</v>
      </c>
      <c r="S10" s="474">
        <f t="shared" si="5"/>
        <v>0.51713401771421408</v>
      </c>
      <c r="T10" s="474">
        <f t="shared" si="6"/>
        <v>0.38705810389211437</v>
      </c>
      <c r="U10" s="474">
        <f t="shared" si="7"/>
        <v>9.580787839367165E-2</v>
      </c>
    </row>
    <row r="11" spans="1:21" ht="15.75" x14ac:dyDescent="0.25">
      <c r="A11" s="455">
        <v>8</v>
      </c>
      <c r="B11" s="455">
        <v>390160</v>
      </c>
      <c r="C11" s="456" t="s">
        <v>30</v>
      </c>
      <c r="D11" s="457">
        <v>35898</v>
      </c>
      <c r="E11" s="458">
        <v>41680808.82</v>
      </c>
      <c r="F11" s="459">
        <f>'АПП Баз (1)'!E27*1000-'АПП Баз (1)'!H27*1000</f>
        <v>51000972.560000002</v>
      </c>
      <c r="G11" s="460">
        <v>37593</v>
      </c>
      <c r="H11" s="461">
        <v>11835404.189999999</v>
      </c>
      <c r="I11" s="459">
        <f t="shared" si="0"/>
        <v>848516.04999999236</v>
      </c>
      <c r="J11" s="462">
        <v>10226</v>
      </c>
      <c r="K11" s="458">
        <v>7113512.3799999999</v>
      </c>
      <c r="L11" s="458">
        <f t="shared" si="1"/>
        <v>60629725.390000001</v>
      </c>
      <c r="M11" s="475">
        <v>58963000.989999995</v>
      </c>
      <c r="O11" s="474">
        <f t="shared" si="2"/>
        <v>0.68746491183802472</v>
      </c>
      <c r="P11" s="474">
        <f t="shared" si="3"/>
        <v>0.19520794649602816</v>
      </c>
      <c r="Q11" s="474">
        <f t="shared" si="4"/>
        <v>0.1173271416659471</v>
      </c>
      <c r="S11" s="474">
        <f t="shared" si="5"/>
        <v>0.86496568532272744</v>
      </c>
      <c r="T11" s="474">
        <f t="shared" si="6"/>
        <v>1.4390652371033472E-2</v>
      </c>
      <c r="U11" s="474">
        <f t="shared" si="7"/>
        <v>0.12064366230623907</v>
      </c>
    </row>
    <row r="12" spans="1:21" ht="15.75" x14ac:dyDescent="0.25">
      <c r="A12" s="455">
        <v>9</v>
      </c>
      <c r="B12" s="455">
        <v>390210</v>
      </c>
      <c r="C12" s="456" t="s">
        <v>31</v>
      </c>
      <c r="D12" s="457">
        <v>35898</v>
      </c>
      <c r="E12" s="458">
        <v>41680808.82</v>
      </c>
      <c r="F12" s="459">
        <f>'АПП Баз (1)'!E28*1000-'АПП Баз (1)'!H28*1000</f>
        <v>29830251.960000001</v>
      </c>
      <c r="G12" s="460">
        <v>37593</v>
      </c>
      <c r="H12" s="461">
        <v>11835404.189999999</v>
      </c>
      <c r="I12" s="459">
        <f t="shared" si="0"/>
        <v>32374883.66</v>
      </c>
      <c r="J12" s="462">
        <v>10235</v>
      </c>
      <c r="K12" s="458">
        <v>7119773.0499999998</v>
      </c>
      <c r="L12" s="458">
        <f t="shared" si="1"/>
        <v>60635986.059999995</v>
      </c>
      <c r="M12" s="475">
        <v>69324908.670000002</v>
      </c>
      <c r="O12" s="474">
        <f t="shared" si="2"/>
        <v>0.68739393103554658</v>
      </c>
      <c r="P12" s="474">
        <f t="shared" si="3"/>
        <v>0.19518779126126082</v>
      </c>
      <c r="Q12" s="474">
        <f t="shared" si="4"/>
        <v>0.11741827770319269</v>
      </c>
      <c r="S12" s="474">
        <f t="shared" si="5"/>
        <v>0.43029630377153155</v>
      </c>
      <c r="T12" s="474">
        <f t="shared" si="6"/>
        <v>0.46700218263699012</v>
      </c>
      <c r="U12" s="474">
        <f t="shared" si="7"/>
        <v>0.10270151359147835</v>
      </c>
    </row>
    <row r="13" spans="1:21" ht="15.75" x14ac:dyDescent="0.25">
      <c r="A13" s="455">
        <v>10</v>
      </c>
      <c r="B13" s="455">
        <v>390220</v>
      </c>
      <c r="C13" s="456" t="s">
        <v>32</v>
      </c>
      <c r="D13" s="457">
        <v>99079</v>
      </c>
      <c r="E13" s="458">
        <v>115039636.11</v>
      </c>
      <c r="F13" s="459">
        <f>'АПП Баз (1)'!E29*1000-'АПП Баз (1)'!H29*1000</f>
        <v>108643559.69</v>
      </c>
      <c r="G13" s="460">
        <v>103758</v>
      </c>
      <c r="H13" s="461">
        <v>32666131.140000001</v>
      </c>
      <c r="I13" s="459">
        <f t="shared" si="0"/>
        <v>48178003.360000007</v>
      </c>
      <c r="J13" s="462">
        <v>28158</v>
      </c>
      <c r="K13" s="458">
        <v>19587549.539999999</v>
      </c>
      <c r="L13" s="458">
        <f t="shared" si="1"/>
        <v>167293316.78999999</v>
      </c>
      <c r="M13" s="475">
        <v>176409112.59</v>
      </c>
      <c r="O13" s="474">
        <f t="shared" si="2"/>
        <v>0.6876523122224123</v>
      </c>
      <c r="P13" s="474">
        <f t="shared" si="3"/>
        <v>0.1952626187751729</v>
      </c>
      <c r="Q13" s="474">
        <f t="shared" si="4"/>
        <v>0.11708506900241487</v>
      </c>
      <c r="S13" s="474">
        <f t="shared" si="5"/>
        <v>0.61586138093956155</v>
      </c>
      <c r="T13" s="474">
        <f t="shared" si="6"/>
        <v>0.2731038246985153</v>
      </c>
      <c r="U13" s="474">
        <f t="shared" si="7"/>
        <v>0.11103479436192315</v>
      </c>
    </row>
    <row r="14" spans="1:21" ht="15.75" x14ac:dyDescent="0.25">
      <c r="A14" s="455">
        <v>11</v>
      </c>
      <c r="B14" s="455">
        <v>390230</v>
      </c>
      <c r="C14" s="456" t="s">
        <v>33</v>
      </c>
      <c r="D14" s="457">
        <v>41642</v>
      </c>
      <c r="E14" s="458">
        <v>48350109.780000001</v>
      </c>
      <c r="F14" s="459">
        <f>'АПП Баз (1)'!E30*1000-'АПП Баз (1)'!H30*1000</f>
        <v>53663232.869999997</v>
      </c>
      <c r="G14" s="460">
        <v>43608</v>
      </c>
      <c r="H14" s="461">
        <v>13729106.640000001</v>
      </c>
      <c r="I14" s="459">
        <f t="shared" si="0"/>
        <v>16801091.410000015</v>
      </c>
      <c r="J14" s="462">
        <v>11654</v>
      </c>
      <c r="K14" s="458">
        <v>8106872.0199999996</v>
      </c>
      <c r="L14" s="458">
        <f t="shared" si="1"/>
        <v>70186088.439999998</v>
      </c>
      <c r="M14" s="475">
        <v>78571196.300000012</v>
      </c>
      <c r="O14" s="474">
        <f t="shared" si="2"/>
        <v>0.68888451906438797</v>
      </c>
      <c r="P14" s="474">
        <f t="shared" si="3"/>
        <v>0.19561008378087072</v>
      </c>
      <c r="Q14" s="474">
        <f t="shared" si="4"/>
        <v>0.11550539715474134</v>
      </c>
      <c r="S14" s="474">
        <f t="shared" si="5"/>
        <v>0.68298861920217435</v>
      </c>
      <c r="T14" s="474">
        <f t="shared" si="6"/>
        <v>0.21383270461926276</v>
      </c>
      <c r="U14" s="474">
        <f t="shared" si="7"/>
        <v>0.10317867617856288</v>
      </c>
    </row>
    <row r="15" spans="1:21" ht="15.75" x14ac:dyDescent="0.25">
      <c r="A15" s="455">
        <v>12</v>
      </c>
      <c r="B15" s="455">
        <v>390240</v>
      </c>
      <c r="C15" s="456" t="s">
        <v>34</v>
      </c>
      <c r="D15" s="457">
        <v>45950</v>
      </c>
      <c r="E15" s="458">
        <v>53352085.5</v>
      </c>
      <c r="F15" s="459">
        <f>'АПП Баз (1)'!E31*1000-'АПП Баз (1)'!H31*1000</f>
        <v>55425696.020000003</v>
      </c>
      <c r="G15" s="460">
        <v>48120</v>
      </c>
      <c r="H15" s="461">
        <v>15149619.6</v>
      </c>
      <c r="I15" s="459">
        <f t="shared" si="0"/>
        <v>28149163.409999989</v>
      </c>
      <c r="J15" s="462">
        <v>12909</v>
      </c>
      <c r="K15" s="458">
        <v>8979887.6699999999</v>
      </c>
      <c r="L15" s="458">
        <f t="shared" si="1"/>
        <v>77481592.769999996</v>
      </c>
      <c r="M15" s="475">
        <v>92554747.099999994</v>
      </c>
      <c r="O15" s="474">
        <f t="shared" si="2"/>
        <v>0.68857755232746487</v>
      </c>
      <c r="P15" s="474">
        <f t="shared" si="3"/>
        <v>0.19552540233615026</v>
      </c>
      <c r="Q15" s="474">
        <f t="shared" si="4"/>
        <v>0.11589704533638487</v>
      </c>
      <c r="S15" s="474">
        <f t="shared" si="5"/>
        <v>0.59884228261264416</v>
      </c>
      <c r="T15" s="474">
        <f t="shared" si="6"/>
        <v>0.3041352744401804</v>
      </c>
      <c r="U15" s="474">
        <f t="shared" si="7"/>
        <v>9.7022442947175436E-2</v>
      </c>
    </row>
    <row r="16" spans="1:21" ht="14.25" customHeight="1" x14ac:dyDescent="0.25">
      <c r="A16" s="455">
        <v>13</v>
      </c>
      <c r="B16" s="455">
        <v>390290</v>
      </c>
      <c r="C16" s="456" t="s">
        <v>35</v>
      </c>
      <c r="D16" s="457">
        <v>12923</v>
      </c>
      <c r="E16" s="458">
        <v>15004766.07</v>
      </c>
      <c r="F16" s="459">
        <f>'АПП Баз (1)'!E32*1000-'АПП Баз (1)'!H32*1000</f>
        <v>17329403.470000003</v>
      </c>
      <c r="G16" s="460">
        <v>13534</v>
      </c>
      <c r="H16" s="461">
        <v>4260909.22</v>
      </c>
      <c r="I16" s="459">
        <f t="shared" si="0"/>
        <v>12506750.049999991</v>
      </c>
      <c r="J16" s="462">
        <v>3794</v>
      </c>
      <c r="K16" s="458">
        <v>2639220.2200000002</v>
      </c>
      <c r="L16" s="458">
        <f t="shared" si="1"/>
        <v>21904895.509999998</v>
      </c>
      <c r="M16" s="475">
        <v>32475373.739999995</v>
      </c>
      <c r="O16" s="474">
        <f t="shared" si="2"/>
        <v>0.68499601210834549</v>
      </c>
      <c r="P16" s="474">
        <f t="shared" si="3"/>
        <v>0.19451858229840971</v>
      </c>
      <c r="Q16" s="474">
        <f t="shared" si="4"/>
        <v>0.12048540559324496</v>
      </c>
      <c r="S16" s="474">
        <f t="shared" si="5"/>
        <v>0.53361675245804285</v>
      </c>
      <c r="T16" s="474">
        <f t="shared" si="6"/>
        <v>0.38511489198337995</v>
      </c>
      <c r="U16" s="474">
        <f t="shared" si="7"/>
        <v>8.1268355558577185E-2</v>
      </c>
    </row>
    <row r="17" spans="1:21" ht="15.75" x14ac:dyDescent="0.25">
      <c r="A17" s="455">
        <v>14</v>
      </c>
      <c r="B17" s="455">
        <v>390380</v>
      </c>
      <c r="C17" s="456" t="s">
        <v>36</v>
      </c>
      <c r="D17" s="457">
        <v>8616</v>
      </c>
      <c r="E17" s="458">
        <v>10003951.439999999</v>
      </c>
      <c r="F17" s="459">
        <f>'АПП Баз (1)'!E33*1000-'АПП Баз (1)'!H33*1000</f>
        <v>8879819.9399999995</v>
      </c>
      <c r="G17" s="460">
        <v>9021</v>
      </c>
      <c r="H17" s="461">
        <v>2840081.43</v>
      </c>
      <c r="I17" s="459">
        <f t="shared" si="0"/>
        <v>2479545.6300000013</v>
      </c>
      <c r="J17" s="462">
        <v>2396</v>
      </c>
      <c r="K17" s="458">
        <v>1666729.48</v>
      </c>
      <c r="L17" s="458">
        <f t="shared" si="1"/>
        <v>14510762.35</v>
      </c>
      <c r="M17" s="475">
        <v>13026095.050000001</v>
      </c>
      <c r="O17" s="474">
        <f t="shared" si="2"/>
        <v>0.68941597958152767</v>
      </c>
      <c r="P17" s="474">
        <f t="shared" si="3"/>
        <v>0.1957224135780847</v>
      </c>
      <c r="Q17" s="474">
        <f t="shared" si="4"/>
        <v>0.11486160684038768</v>
      </c>
      <c r="S17" s="474">
        <f t="shared" si="5"/>
        <v>0.68169469867333721</v>
      </c>
      <c r="T17" s="474">
        <f t="shared" si="6"/>
        <v>0.19035218309726684</v>
      </c>
      <c r="U17" s="474">
        <f t="shared" si="7"/>
        <v>0.12795311822939598</v>
      </c>
    </row>
    <row r="18" spans="1:21" ht="15.75" x14ac:dyDescent="0.25">
      <c r="A18" s="455">
        <v>15</v>
      </c>
      <c r="B18" s="455">
        <v>390370</v>
      </c>
      <c r="C18" s="456" t="s">
        <v>37</v>
      </c>
      <c r="D18" s="457">
        <v>14359</v>
      </c>
      <c r="E18" s="458">
        <v>16672091.310000001</v>
      </c>
      <c r="F18" s="459">
        <f>'АПП Баз (1)'!E34*1000-'АПП Баз (1)'!H34*1000</f>
        <v>16206972.75</v>
      </c>
      <c r="G18" s="460">
        <v>15037</v>
      </c>
      <c r="H18" s="461">
        <v>4734098.71</v>
      </c>
      <c r="I18" s="459">
        <f t="shared" si="0"/>
        <v>4130512.7899999996</v>
      </c>
      <c r="J18" s="462">
        <v>4064</v>
      </c>
      <c r="K18" s="458">
        <v>2827040.32</v>
      </c>
      <c r="L18" s="458">
        <f t="shared" si="1"/>
        <v>24233230.34</v>
      </c>
      <c r="M18" s="475">
        <v>23164525.859999999</v>
      </c>
      <c r="O18" s="474">
        <f t="shared" si="2"/>
        <v>0.68798468367960885</v>
      </c>
      <c r="P18" s="474">
        <f t="shared" si="3"/>
        <v>0.19535566012368452</v>
      </c>
      <c r="Q18" s="474">
        <f t="shared" si="4"/>
        <v>0.11665965619670662</v>
      </c>
      <c r="S18" s="474">
        <f t="shared" si="5"/>
        <v>0.69964621110531122</v>
      </c>
      <c r="T18" s="474">
        <f t="shared" si="6"/>
        <v>0.17831199373402584</v>
      </c>
      <c r="U18" s="474">
        <f t="shared" si="7"/>
        <v>0.12204179516066295</v>
      </c>
    </row>
    <row r="19" spans="1:21" ht="15.75" x14ac:dyDescent="0.25">
      <c r="A19" s="455">
        <v>16</v>
      </c>
      <c r="B19" s="455">
        <v>390480</v>
      </c>
      <c r="C19" s="456" t="s">
        <v>96</v>
      </c>
      <c r="D19" s="457">
        <v>50258</v>
      </c>
      <c r="E19" s="458">
        <v>58354061.219999999</v>
      </c>
      <c r="F19" s="459">
        <f>'АПП Баз (1)'!E35*1000-'АПП Баз (1)'!H35*1000</f>
        <v>64812662.969999999</v>
      </c>
      <c r="G19" s="460">
        <v>52631</v>
      </c>
      <c r="H19" s="461">
        <v>16569817.73</v>
      </c>
      <c r="I19" s="459">
        <f t="shared" si="0"/>
        <v>9934824.9499999937</v>
      </c>
      <c r="J19" s="462">
        <v>14452</v>
      </c>
      <c r="K19" s="458">
        <v>10053244.76</v>
      </c>
      <c r="L19" s="458">
        <f t="shared" si="1"/>
        <v>84977123.710000008</v>
      </c>
      <c r="M19" s="475">
        <v>84800732.679999992</v>
      </c>
      <c r="O19" s="474">
        <f t="shared" si="2"/>
        <v>0.6867031816603244</v>
      </c>
      <c r="P19" s="474">
        <f t="shared" si="3"/>
        <v>0.19499151073349502</v>
      </c>
      <c r="Q19" s="474">
        <f t="shared" si="4"/>
        <v>0.11830530760618044</v>
      </c>
      <c r="S19" s="474">
        <f t="shared" si="5"/>
        <v>0.76429366730325288</v>
      </c>
      <c r="T19" s="474">
        <f t="shared" si="6"/>
        <v>0.11715494236930211</v>
      </c>
      <c r="U19" s="474">
        <f t="shared" si="7"/>
        <v>0.11855139032744499</v>
      </c>
    </row>
    <row r="20" spans="1:21" ht="15.75" x14ac:dyDescent="0.25">
      <c r="A20" s="455">
        <v>17</v>
      </c>
      <c r="B20" s="455">
        <v>390260</v>
      </c>
      <c r="C20" s="456" t="s">
        <v>38</v>
      </c>
      <c r="D20" s="457">
        <v>22975</v>
      </c>
      <c r="E20" s="458">
        <v>26676042.75</v>
      </c>
      <c r="F20" s="459">
        <f>'АПП Баз (1)'!E36*1000-'АПП Баз (1)'!H36*1000</f>
        <v>28688309.879999999</v>
      </c>
      <c r="G20" s="460">
        <v>24060</v>
      </c>
      <c r="H20" s="461">
        <v>7574809.7999999998</v>
      </c>
      <c r="I20" s="459">
        <f t="shared" si="0"/>
        <v>16575843.860000003</v>
      </c>
      <c r="J20" s="462">
        <v>6453</v>
      </c>
      <c r="K20" s="458">
        <v>4488900.3899999997</v>
      </c>
      <c r="L20" s="458">
        <f t="shared" si="1"/>
        <v>38739752.939999998</v>
      </c>
      <c r="M20" s="475">
        <v>49753054.130000003</v>
      </c>
      <c r="O20" s="474">
        <f t="shared" si="2"/>
        <v>0.68859609898172991</v>
      </c>
      <c r="P20" s="474">
        <f t="shared" si="3"/>
        <v>0.19553066876115188</v>
      </c>
      <c r="Q20" s="474">
        <f t="shared" si="4"/>
        <v>0.11587323225711826</v>
      </c>
      <c r="S20" s="474">
        <f t="shared" si="5"/>
        <v>0.57661404674857086</v>
      </c>
      <c r="T20" s="474">
        <f t="shared" si="6"/>
        <v>0.33316233847049664</v>
      </c>
      <c r="U20" s="474">
        <f t="shared" si="7"/>
        <v>9.0223614780932437E-2</v>
      </c>
    </row>
    <row r="21" spans="1:21" ht="15.75" x14ac:dyDescent="0.25">
      <c r="A21" s="455">
        <v>18</v>
      </c>
      <c r="B21" s="455">
        <v>390250</v>
      </c>
      <c r="C21" s="456" t="s">
        <v>39</v>
      </c>
      <c r="D21" s="457">
        <v>17231</v>
      </c>
      <c r="E21" s="458">
        <v>20006741.789999999</v>
      </c>
      <c r="F21" s="459">
        <f>'АПП Баз (1)'!E37*1000-'АПП Баз (1)'!H37*1000</f>
        <v>20876216.699999999</v>
      </c>
      <c r="G21" s="460">
        <v>18045</v>
      </c>
      <c r="H21" s="461">
        <v>5681107.3499999996</v>
      </c>
      <c r="I21" s="459">
        <f t="shared" si="0"/>
        <v>17609757.649999999</v>
      </c>
      <c r="J21" s="462">
        <v>4784</v>
      </c>
      <c r="K21" s="458">
        <v>3327893.92</v>
      </c>
      <c r="L21" s="458">
        <f t="shared" si="1"/>
        <v>29015743.060000002</v>
      </c>
      <c r="M21" s="475">
        <v>41813868.269999996</v>
      </c>
      <c r="O21" s="474">
        <f t="shared" si="2"/>
        <v>0.68951333586836627</v>
      </c>
      <c r="P21" s="474">
        <f t="shared" si="3"/>
        <v>0.1957939639268366</v>
      </c>
      <c r="Q21" s="474">
        <f t="shared" si="4"/>
        <v>0.11469270020479702</v>
      </c>
      <c r="S21" s="474">
        <f t="shared" si="5"/>
        <v>0.49926537686488009</v>
      </c>
      <c r="T21" s="474">
        <f t="shared" si="6"/>
        <v>0.42114634159868891</v>
      </c>
      <c r="U21" s="474">
        <f t="shared" si="7"/>
        <v>7.9588281536431035E-2</v>
      </c>
    </row>
    <row r="22" spans="1:21" ht="15.75" x14ac:dyDescent="0.25">
      <c r="A22" s="455">
        <v>19</v>
      </c>
      <c r="B22" s="455">
        <v>390300</v>
      </c>
      <c r="C22" s="456" t="s">
        <v>40</v>
      </c>
      <c r="D22" s="457">
        <v>15795</v>
      </c>
      <c r="E22" s="458">
        <v>18339416.550000001</v>
      </c>
      <c r="F22" s="459">
        <f>'АПП Баз (1)'!E38*1000-'АПП Баз (1)'!H38*1000</f>
        <v>20461640.465878919</v>
      </c>
      <c r="G22" s="460">
        <v>16541</v>
      </c>
      <c r="H22" s="461">
        <v>5207603.03</v>
      </c>
      <c r="I22" s="459">
        <f t="shared" si="0"/>
        <v>17684535.444121081</v>
      </c>
      <c r="J22" s="462">
        <v>4438</v>
      </c>
      <c r="K22" s="458">
        <v>3087205.94</v>
      </c>
      <c r="L22" s="458">
        <f t="shared" si="1"/>
        <v>26634225.520000003</v>
      </c>
      <c r="M22" s="475">
        <v>41233381.850000001</v>
      </c>
      <c r="O22" s="474">
        <f t="shared" si="2"/>
        <v>0.68856579051749345</v>
      </c>
      <c r="P22" s="474">
        <f t="shared" si="3"/>
        <v>0.19552297573246649</v>
      </c>
      <c r="Q22" s="474">
        <f t="shared" si="4"/>
        <v>0.11591123375003996</v>
      </c>
      <c r="S22" s="474">
        <f t="shared" si="5"/>
        <v>0.49623968609499147</v>
      </c>
      <c r="T22" s="474">
        <f t="shared" si="6"/>
        <v>0.42888879472594316</v>
      </c>
      <c r="U22" s="474">
        <f t="shared" si="7"/>
        <v>7.4871519179065343E-2</v>
      </c>
    </row>
    <row r="23" spans="1:21" ht="15.75" x14ac:dyDescent="0.25">
      <c r="A23" s="455">
        <v>20</v>
      </c>
      <c r="B23" s="455">
        <v>390310</v>
      </c>
      <c r="C23" s="456" t="s">
        <v>117</v>
      </c>
      <c r="D23" s="457">
        <v>22975</v>
      </c>
      <c r="E23" s="458">
        <v>26676042.75</v>
      </c>
      <c r="F23" s="459">
        <f>'АПП Баз (1)'!E39*1000-'АПП Баз (1)'!H39*1000</f>
        <v>26620661.2973902</v>
      </c>
      <c r="G23" s="460">
        <v>24060</v>
      </c>
      <c r="H23" s="461">
        <v>7574809.7999999998</v>
      </c>
      <c r="I23" s="459">
        <f t="shared" si="0"/>
        <v>16988566.872609809</v>
      </c>
      <c r="J23" s="462">
        <v>6442</v>
      </c>
      <c r="K23" s="458">
        <v>4481248.46</v>
      </c>
      <c r="L23" s="458">
        <f t="shared" si="1"/>
        <v>38732101.009999998</v>
      </c>
      <c r="M23" s="475">
        <v>48090476.63000001</v>
      </c>
      <c r="O23" s="474">
        <f t="shared" si="2"/>
        <v>0.68873213831371249</v>
      </c>
      <c r="P23" s="474">
        <f t="shared" si="3"/>
        <v>0.19556929788147323</v>
      </c>
      <c r="Q23" s="474">
        <f t="shared" si="4"/>
        <v>0.11569856380481437</v>
      </c>
      <c r="S23" s="474">
        <f t="shared" si="5"/>
        <v>0.55355370050093422</v>
      </c>
      <c r="T23" s="474">
        <f t="shared" si="6"/>
        <v>0.35326260131121112</v>
      </c>
      <c r="U23" s="474">
        <f t="shared" si="7"/>
        <v>9.3183698187854686E-2</v>
      </c>
    </row>
    <row r="24" spans="1:21" ht="15.75" x14ac:dyDescent="0.25">
      <c r="A24" s="455">
        <v>21</v>
      </c>
      <c r="B24" s="455">
        <v>390320</v>
      </c>
      <c r="C24" s="456" t="s">
        <v>102</v>
      </c>
      <c r="D24" s="457">
        <v>22975</v>
      </c>
      <c r="E24" s="458">
        <v>26676042.75</v>
      </c>
      <c r="F24" s="459">
        <f>'АПП Баз (1)'!E40*1000-'АПП Баз (1)'!H40*1000</f>
        <v>27774619.054098543</v>
      </c>
      <c r="G24" s="460">
        <v>24060</v>
      </c>
      <c r="H24" s="461">
        <v>7574809.7999999998</v>
      </c>
      <c r="I24" s="459">
        <f t="shared" si="0"/>
        <v>18146149.765901454</v>
      </c>
      <c r="J24" s="462">
        <v>6446</v>
      </c>
      <c r="K24" s="458">
        <v>4484030.9800000004</v>
      </c>
      <c r="L24" s="458">
        <f t="shared" si="1"/>
        <v>38734883.530000001</v>
      </c>
      <c r="M24" s="475">
        <v>50404799.799999997</v>
      </c>
      <c r="O24" s="474">
        <f t="shared" si="2"/>
        <v>0.68868266324692884</v>
      </c>
      <c r="P24" s="474">
        <f t="shared" si="3"/>
        <v>0.19555524916276931</v>
      </c>
      <c r="Q24" s="474">
        <f t="shared" si="4"/>
        <v>0.11576208759030185</v>
      </c>
      <c r="S24" s="474">
        <f t="shared" si="5"/>
        <v>0.55103123441229385</v>
      </c>
      <c r="T24" s="474">
        <f t="shared" si="6"/>
        <v>0.3600083690026174</v>
      </c>
      <c r="U24" s="474">
        <f t="shared" si="7"/>
        <v>8.8960396585088725E-2</v>
      </c>
    </row>
    <row r="25" spans="1:21" ht="15.75" x14ac:dyDescent="0.25">
      <c r="A25" s="455">
        <v>22</v>
      </c>
      <c r="B25" s="455">
        <v>390180</v>
      </c>
      <c r="C25" s="456" t="s">
        <v>43</v>
      </c>
      <c r="D25" s="457">
        <v>38770</v>
      </c>
      <c r="E25" s="458">
        <v>45015459.299999997</v>
      </c>
      <c r="F25" s="459">
        <f>'АПП Баз (1)'!E41*1000-'АПП Баз (1)'!H41*1000</f>
        <v>42403400.445956588</v>
      </c>
      <c r="G25" s="460">
        <v>40601</v>
      </c>
      <c r="H25" s="461">
        <v>12782412.83</v>
      </c>
      <c r="I25" s="459">
        <f t="shared" si="0"/>
        <v>12009574.404043417</v>
      </c>
      <c r="J25" s="462">
        <v>11013</v>
      </c>
      <c r="K25" s="458">
        <v>7660973.1900000004</v>
      </c>
      <c r="L25" s="458">
        <f t="shared" si="1"/>
        <v>65458845.319999993</v>
      </c>
      <c r="M25" s="475">
        <v>62073948.040000007</v>
      </c>
      <c r="O25" s="474">
        <f t="shared" si="2"/>
        <v>0.68769100768488778</v>
      </c>
      <c r="P25" s="474">
        <f t="shared" si="3"/>
        <v>0.19527403466273061</v>
      </c>
      <c r="Q25" s="474">
        <f t="shared" si="4"/>
        <v>0.11703495765238166</v>
      </c>
      <c r="S25" s="474">
        <f t="shared" si="5"/>
        <v>0.6831110600316922</v>
      </c>
      <c r="T25" s="474">
        <f t="shared" si="6"/>
        <v>0.19347205684910734</v>
      </c>
      <c r="U25" s="474">
        <f t="shared" si="7"/>
        <v>0.12341688311920042</v>
      </c>
    </row>
    <row r="26" spans="1:21" ht="15.75" x14ac:dyDescent="0.25">
      <c r="A26" s="455">
        <v>23</v>
      </c>
      <c r="B26" s="455">
        <v>390270</v>
      </c>
      <c r="C26" s="456" t="s">
        <v>100</v>
      </c>
      <c r="D26" s="457">
        <v>21539</v>
      </c>
      <c r="E26" s="458">
        <v>25008717.510000002</v>
      </c>
      <c r="F26" s="459">
        <f>'АПП Баз (1)'!E42*1000-'АПП Баз (1)'!H42*1000</f>
        <v>27702226.51562684</v>
      </c>
      <c r="G26" s="460">
        <v>22556</v>
      </c>
      <c r="H26" s="461">
        <v>7101305.4800000004</v>
      </c>
      <c r="I26" s="459">
        <f t="shared" si="0"/>
        <v>19898164.744373161</v>
      </c>
      <c r="J26" s="462">
        <v>6237</v>
      </c>
      <c r="K26" s="458">
        <v>4338644.3099999996</v>
      </c>
      <c r="L26" s="458">
        <f t="shared" si="1"/>
        <v>36448667.300000004</v>
      </c>
      <c r="M26" s="475">
        <v>51939035.57</v>
      </c>
      <c r="O26" s="474">
        <f t="shared" si="2"/>
        <v>0.68613530651640586</v>
      </c>
      <c r="P26" s="474">
        <f t="shared" si="3"/>
        <v>0.19483031907726292</v>
      </c>
      <c r="Q26" s="474">
        <f t="shared" si="4"/>
        <v>0.11903437440633115</v>
      </c>
      <c r="S26" s="474">
        <f t="shared" si="5"/>
        <v>0.53336043327742599</v>
      </c>
      <c r="T26" s="474">
        <f t="shared" si="6"/>
        <v>0.38310616525706814</v>
      </c>
      <c r="U26" s="474">
        <f t="shared" si="7"/>
        <v>8.3533401465505877E-2</v>
      </c>
    </row>
    <row r="27" spans="1:21" ht="15.75" x14ac:dyDescent="0.25">
      <c r="A27" s="455">
        <v>24</v>
      </c>
      <c r="B27" s="455">
        <v>390190</v>
      </c>
      <c r="C27" s="456" t="s">
        <v>45</v>
      </c>
      <c r="D27" s="457">
        <v>47386</v>
      </c>
      <c r="E27" s="458">
        <v>55019410.740000002</v>
      </c>
      <c r="F27" s="459">
        <f>'АПП Баз (1)'!E43*1000-'АПП Баз (1)'!H43*1000</f>
        <v>63766744.10701783</v>
      </c>
      <c r="G27" s="460">
        <v>49623</v>
      </c>
      <c r="H27" s="461">
        <v>15622809.09</v>
      </c>
      <c r="I27" s="459">
        <f t="shared" si="0"/>
        <v>6586811.8429821637</v>
      </c>
      <c r="J27" s="462">
        <v>13552</v>
      </c>
      <c r="K27" s="458">
        <v>9427177.7599999998</v>
      </c>
      <c r="L27" s="458">
        <f t="shared" si="1"/>
        <v>80069397.590000004</v>
      </c>
      <c r="M27" s="475">
        <v>79780733.709999993</v>
      </c>
      <c r="O27" s="474">
        <f t="shared" si="2"/>
        <v>0.68714655531355551</v>
      </c>
      <c r="P27" s="474">
        <f t="shared" si="3"/>
        <v>0.19511585649735372</v>
      </c>
      <c r="Q27" s="474">
        <f t="shared" si="4"/>
        <v>0.1177375881890908</v>
      </c>
      <c r="S27" s="474">
        <f t="shared" si="5"/>
        <v>0.79927497707413397</v>
      </c>
      <c r="T27" s="474">
        <f t="shared" si="6"/>
        <v>8.2561434781046009E-2</v>
      </c>
      <c r="U27" s="474">
        <f t="shared" si="7"/>
        <v>0.11816358814482004</v>
      </c>
    </row>
    <row r="28" spans="1:21" ht="15.75" x14ac:dyDescent="0.25">
      <c r="A28" s="455">
        <v>25</v>
      </c>
      <c r="B28" s="455">
        <v>390280</v>
      </c>
      <c r="C28" s="456" t="s">
        <v>101</v>
      </c>
      <c r="D28" s="457">
        <v>56001</v>
      </c>
      <c r="E28" s="458">
        <v>65022201.090000004</v>
      </c>
      <c r="F28" s="459">
        <f>'АПП Баз (1)'!E44*1000-'АПП Баз (1)'!H44*1000</f>
        <v>67989892.808200568</v>
      </c>
      <c r="G28" s="460">
        <v>58646</v>
      </c>
      <c r="H28" s="461">
        <v>18463520.18</v>
      </c>
      <c r="I28" s="459">
        <f t="shared" si="0"/>
        <v>26658977.301799413</v>
      </c>
      <c r="J28" s="462">
        <v>16082</v>
      </c>
      <c r="K28" s="458">
        <v>11187121.66</v>
      </c>
      <c r="L28" s="458">
        <f t="shared" si="1"/>
        <v>94672842.930000007</v>
      </c>
      <c r="M28" s="475">
        <v>105835991.76999998</v>
      </c>
      <c r="O28" s="474">
        <f t="shared" si="2"/>
        <v>0.68680942789556509</v>
      </c>
      <c r="P28" s="474">
        <f t="shared" si="3"/>
        <v>0.19502446117152847</v>
      </c>
      <c r="Q28" s="474">
        <f t="shared" si="4"/>
        <v>0.11816611093290635</v>
      </c>
      <c r="S28" s="474">
        <f t="shared" si="5"/>
        <v>0.64240804731111167</v>
      </c>
      <c r="T28" s="474">
        <f t="shared" si="6"/>
        <v>0.25188952128623698</v>
      </c>
      <c r="U28" s="474">
        <f t="shared" si="7"/>
        <v>0.1057024314026514</v>
      </c>
    </row>
    <row r="29" spans="1:21" ht="15.75" x14ac:dyDescent="0.25">
      <c r="A29" s="455">
        <v>26</v>
      </c>
      <c r="B29" s="455">
        <v>390600</v>
      </c>
      <c r="C29" s="456" t="s">
        <v>118</v>
      </c>
      <c r="D29" s="457">
        <v>18667</v>
      </c>
      <c r="E29" s="458">
        <v>21674067.030000001</v>
      </c>
      <c r="F29" s="459">
        <f>'АПП Баз (1)'!E45*1000-'АПП Баз (1)'!H45*1000</f>
        <v>20928933.318448842</v>
      </c>
      <c r="G29" s="460">
        <v>19549</v>
      </c>
      <c r="H29" s="461">
        <v>6154611.6699999999</v>
      </c>
      <c r="I29" s="459">
        <f t="shared" si="0"/>
        <v>3669612.601551157</v>
      </c>
      <c r="J29" s="462">
        <v>5378</v>
      </c>
      <c r="K29" s="458">
        <v>3741098.14</v>
      </c>
      <c r="L29" s="458">
        <f t="shared" si="1"/>
        <v>31569776.840000004</v>
      </c>
      <c r="M29" s="475">
        <v>28339644.059999999</v>
      </c>
      <c r="O29" s="474">
        <f t="shared" si="2"/>
        <v>0.68654482861399913</v>
      </c>
      <c r="P29" s="474">
        <f t="shared" si="3"/>
        <v>0.19495265047936269</v>
      </c>
      <c r="Q29" s="474">
        <f t="shared" si="4"/>
        <v>0.11850252090663811</v>
      </c>
      <c r="S29" s="474">
        <f t="shared" si="5"/>
        <v>0.7385037466998039</v>
      </c>
      <c r="T29" s="474">
        <f t="shared" si="6"/>
        <v>0.12948689806343169</v>
      </c>
      <c r="U29" s="474">
        <f t="shared" si="7"/>
        <v>0.13200935523676441</v>
      </c>
    </row>
    <row r="30" spans="1:21" ht="15.75" x14ac:dyDescent="0.25">
      <c r="A30" s="455">
        <v>27</v>
      </c>
      <c r="B30" s="455">
        <v>390340</v>
      </c>
      <c r="C30" s="456" t="s">
        <v>119</v>
      </c>
      <c r="D30" s="457">
        <v>17231</v>
      </c>
      <c r="E30" s="458">
        <v>20006741.789999999</v>
      </c>
      <c r="F30" s="459">
        <f>'АПП Баз (1)'!E46*1000-'АПП Баз (1)'!H46*1000</f>
        <v>22331515.246459603</v>
      </c>
      <c r="G30" s="460">
        <v>18045</v>
      </c>
      <c r="H30" s="461">
        <v>5681107.3499999996</v>
      </c>
      <c r="I30" s="459">
        <f t="shared" si="0"/>
        <v>-3142920.6164595992</v>
      </c>
      <c r="J30" s="462">
        <v>5056</v>
      </c>
      <c r="K30" s="458">
        <v>3517105.28</v>
      </c>
      <c r="L30" s="458">
        <f t="shared" si="1"/>
        <v>29204954.420000002</v>
      </c>
      <c r="M30" s="475">
        <v>22705699.910000004</v>
      </c>
      <c r="O30" s="474">
        <f t="shared" si="2"/>
        <v>0.68504615697325233</v>
      </c>
      <c r="P30" s="474">
        <f t="shared" si="3"/>
        <v>0.19452546538163709</v>
      </c>
      <c r="Q30" s="474">
        <f t="shared" si="4"/>
        <v>0.12042837764511052</v>
      </c>
      <c r="S30" s="474">
        <f t="shared" si="5"/>
        <v>0.98352023214331297</v>
      </c>
      <c r="T30" s="474">
        <f t="shared" si="6"/>
        <v>-0.13841989583749409</v>
      </c>
      <c r="U30" s="474">
        <f t="shared" si="7"/>
        <v>0.15489966369418115</v>
      </c>
    </row>
    <row r="31" spans="1:21" s="468" customFormat="1" ht="15.75" x14ac:dyDescent="0.25">
      <c r="A31" s="477"/>
      <c r="B31" s="477"/>
      <c r="C31" s="463" t="s">
        <v>247</v>
      </c>
      <c r="D31" s="464">
        <f t="shared" ref="D31:M31" si="8">SUM(D4:D30)</f>
        <v>1435931</v>
      </c>
      <c r="E31" s="465">
        <f t="shared" si="8"/>
        <v>1667248175.4999998</v>
      </c>
      <c r="F31" s="465">
        <f t="shared" si="8"/>
        <v>1722070956.3690786</v>
      </c>
      <c r="G31" s="483">
        <f t="shared" si="8"/>
        <v>1503739</v>
      </c>
      <c r="H31" s="484">
        <f t="shared" si="8"/>
        <v>473424051.72000009</v>
      </c>
      <c r="I31" s="465">
        <f t="shared" si="8"/>
        <v>392911724.57092208</v>
      </c>
      <c r="J31" s="485">
        <f t="shared" si="8"/>
        <v>408617</v>
      </c>
      <c r="K31" s="486">
        <f t="shared" si="8"/>
        <v>284245602.15999991</v>
      </c>
      <c r="L31" s="486">
        <f t="shared" si="8"/>
        <v>2424917829.3800006</v>
      </c>
      <c r="M31" s="486">
        <f t="shared" si="8"/>
        <v>2399228283.0999999</v>
      </c>
      <c r="O31" s="474">
        <f t="shared" si="2"/>
        <v>0.68754831825632601</v>
      </c>
      <c r="P31" s="474">
        <f t="shared" si="3"/>
        <v>0.19523302851092666</v>
      </c>
      <c r="Q31" s="474">
        <f t="shared" si="4"/>
        <v>0.11721865323274702</v>
      </c>
      <c r="S31" s="474">
        <f t="shared" si="5"/>
        <v>0.71776036007045629</v>
      </c>
      <c r="T31" s="474">
        <f t="shared" si="6"/>
        <v>0.1637658772775252</v>
      </c>
      <c r="U31" s="474">
        <f t="shared" si="7"/>
        <v>0.11847376265201878</v>
      </c>
    </row>
    <row r="32" spans="1:21" ht="15.75" x14ac:dyDescent="0.25">
      <c r="E32" s="478"/>
      <c r="F32" s="476">
        <v>1641480386.3690801</v>
      </c>
      <c r="G32" s="482"/>
      <c r="H32" s="487"/>
      <c r="I32" s="476"/>
      <c r="J32" s="476"/>
      <c r="K32" s="480"/>
      <c r="L32" s="476"/>
      <c r="M32" s="476"/>
    </row>
    <row r="33" spans="3:13" x14ac:dyDescent="0.25">
      <c r="F33" s="449">
        <v>0.98454471895091922</v>
      </c>
      <c r="L33" s="481"/>
      <c r="M33" s="481"/>
    </row>
    <row r="34" spans="3:13" ht="15.75" x14ac:dyDescent="0.25">
      <c r="C34" s="449" t="s">
        <v>248</v>
      </c>
      <c r="G34" s="472"/>
      <c r="H34" s="487">
        <v>78581</v>
      </c>
      <c r="K34" s="466"/>
      <c r="L34" s="449"/>
      <c r="M34" s="449"/>
    </row>
    <row r="35" spans="3:13" ht="15.75" x14ac:dyDescent="0.25">
      <c r="C35" s="449" t="s">
        <v>249</v>
      </c>
      <c r="H35" s="479">
        <v>263562</v>
      </c>
      <c r="K35" s="466"/>
      <c r="L35" s="449"/>
      <c r="M35" s="449"/>
    </row>
    <row r="36" spans="3:13" ht="15.75" x14ac:dyDescent="0.25">
      <c r="C36" s="449" t="s">
        <v>250</v>
      </c>
      <c r="H36" s="479">
        <v>274189</v>
      </c>
      <c r="K36" s="466"/>
      <c r="L36" s="449"/>
      <c r="M36" s="449"/>
    </row>
    <row r="37" spans="3:13" ht="15.75" x14ac:dyDescent="0.25">
      <c r="C37" s="449" t="s">
        <v>251</v>
      </c>
      <c r="H37" s="479">
        <v>270207</v>
      </c>
      <c r="K37" s="466"/>
      <c r="L37" s="449"/>
      <c r="M37" s="449"/>
    </row>
    <row r="38" spans="3:13" ht="15.75" x14ac:dyDescent="0.25">
      <c r="C38" s="449" t="s">
        <v>252</v>
      </c>
      <c r="H38" s="479">
        <v>500</v>
      </c>
      <c r="K38" s="466"/>
      <c r="L38" s="449"/>
      <c r="M38" s="449"/>
    </row>
    <row r="39" spans="3:13" x14ac:dyDescent="0.25">
      <c r="C39" s="467" t="s">
        <v>253</v>
      </c>
      <c r="D39" s="468"/>
      <c r="E39" s="468"/>
      <c r="F39" s="468"/>
      <c r="G39" s="468"/>
      <c r="H39" s="488">
        <f>SUM(H31:H38)</f>
        <v>474311090.72000009</v>
      </c>
      <c r="K39" s="466"/>
      <c r="L39" s="449"/>
      <c r="M39" s="449"/>
    </row>
    <row r="40" spans="3:13" ht="15.75" x14ac:dyDescent="0.25">
      <c r="C40" s="449" t="s">
        <v>175</v>
      </c>
      <c r="H40" s="479">
        <v>188136</v>
      </c>
      <c r="K40" s="466"/>
      <c r="L40" s="449"/>
      <c r="M40" s="449"/>
    </row>
    <row r="41" spans="3:13" x14ac:dyDescent="0.25">
      <c r="C41" s="470" t="s">
        <v>75</v>
      </c>
      <c r="D41" s="470"/>
      <c r="E41" s="470"/>
      <c r="F41" s="470"/>
      <c r="G41" s="470"/>
      <c r="H41" s="471">
        <f>H39-H40</f>
        <v>474122954.72000009</v>
      </c>
      <c r="K41" s="466"/>
      <c r="L41" s="449"/>
      <c r="M41" s="449"/>
    </row>
    <row r="43" spans="3:13" x14ac:dyDescent="0.25">
      <c r="H43" s="469">
        <f>2014195-G31</f>
        <v>510456</v>
      </c>
    </row>
  </sheetData>
  <mergeCells count="1">
    <mergeCell ref="B1:L1"/>
  </mergeCells>
  <pageMargins left="0.2" right="0.2" top="0.17" bottom="0.17" header="0.17" footer="0.17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55E4-2062-4A87-A9D5-B0E80255E7B5}">
  <sheetPr filterMode="1">
    <pageSetUpPr fitToPage="1"/>
  </sheetPr>
  <dimension ref="A1:AG82"/>
  <sheetViews>
    <sheetView zoomScale="91" zoomScaleNormal="91" workbookViewId="0">
      <pane xSplit="3" ySplit="7" topLeftCell="L26" activePane="bottomRight" state="frozen"/>
      <selection pane="topRight" activeCell="D1" sqref="D1"/>
      <selection pane="bottomLeft" activeCell="A7" sqref="A7"/>
      <selection pane="bottomRight" activeCell="E82" sqref="E82"/>
    </sheetView>
  </sheetViews>
  <sheetFormatPr defaultColWidth="9.140625" defaultRowHeight="21.75" customHeight="1" x14ac:dyDescent="0.25"/>
  <cols>
    <col min="1" max="1" width="8.140625" style="202" customWidth="1"/>
    <col min="2" max="2" width="8" style="202" customWidth="1"/>
    <col min="3" max="3" width="35.28515625" style="68" customWidth="1"/>
    <col min="4" max="4" width="10.140625" style="236" bestFit="1" customWidth="1"/>
    <col min="5" max="5" width="16.140625" style="392" customWidth="1"/>
    <col min="6" max="6" width="6.140625" style="68" bestFit="1" customWidth="1"/>
    <col min="7" max="7" width="15.28515625" style="68" bestFit="1" customWidth="1"/>
    <col min="8" max="8" width="11.28515625" style="68" bestFit="1" customWidth="1"/>
    <col min="9" max="9" width="6.140625" style="68" bestFit="1" customWidth="1"/>
    <col min="10" max="10" width="9" style="68" bestFit="1" customWidth="1"/>
    <col min="11" max="11" width="12.28515625" style="236" customWidth="1"/>
    <col min="12" max="12" width="13.140625" style="392" bestFit="1" customWidth="1"/>
    <col min="13" max="13" width="10.7109375" style="68" customWidth="1"/>
    <col min="14" max="14" width="11.28515625" style="68" customWidth="1"/>
    <col min="15" max="15" width="9" style="68" bestFit="1" customWidth="1"/>
    <col min="16" max="16" width="10.7109375" style="68" customWidth="1"/>
    <col min="17" max="17" width="10.140625" style="68" bestFit="1" customWidth="1"/>
    <col min="18" max="18" width="11.5703125" style="68" customWidth="1"/>
    <col min="19" max="19" width="10.140625" style="68" bestFit="1" customWidth="1"/>
    <col min="20" max="20" width="11.28515625" style="68" bestFit="1" customWidth="1"/>
    <col min="21" max="21" width="6.140625" style="393" bestFit="1" customWidth="1"/>
    <col min="22" max="22" width="10.140625" style="68" bestFit="1" customWidth="1"/>
    <col min="23" max="23" width="11.7109375" style="68" customWidth="1"/>
    <col min="24" max="24" width="11.140625" style="394" customWidth="1"/>
    <col min="25" max="25" width="14.85546875" style="395" customWidth="1"/>
    <col min="26" max="26" width="13.28515625" style="68" customWidth="1"/>
    <col min="27" max="27" width="11.140625" style="68" customWidth="1"/>
    <col min="28" max="30" width="9.140625" style="68"/>
    <col min="31" max="31" width="14.5703125" style="68" customWidth="1"/>
    <col min="32" max="16384" width="9.140625" style="68"/>
  </cols>
  <sheetData>
    <row r="1" spans="1:33" ht="17.25" hidden="1" customHeight="1" x14ac:dyDescent="0.25">
      <c r="A1" s="200"/>
      <c r="B1" s="200"/>
      <c r="C1" s="350"/>
      <c r="D1" s="350"/>
      <c r="E1" s="351"/>
      <c r="F1" s="118"/>
      <c r="G1" s="118"/>
      <c r="H1" s="118"/>
      <c r="I1" s="118"/>
      <c r="J1" s="118"/>
      <c r="K1" s="350"/>
      <c r="L1" s="351"/>
      <c r="M1" s="118"/>
      <c r="N1" s="118"/>
      <c r="O1" s="118"/>
      <c r="P1" s="118"/>
      <c r="Q1" s="118"/>
      <c r="R1" s="118"/>
      <c r="S1" s="118"/>
      <c r="T1" s="118"/>
      <c r="U1" s="352"/>
      <c r="V1" s="118"/>
      <c r="W1" s="118"/>
      <c r="X1" s="353"/>
      <c r="Y1" s="354" t="s">
        <v>225</v>
      </c>
    </row>
    <row r="2" spans="1:33" ht="17.25" hidden="1" customHeight="1" x14ac:dyDescent="0.25">
      <c r="A2" s="200"/>
      <c r="B2" s="200"/>
      <c r="C2" s="118"/>
      <c r="D2" s="350"/>
      <c r="E2" s="351"/>
      <c r="F2" s="118"/>
      <c r="G2" s="118"/>
      <c r="H2" s="118"/>
      <c r="I2" s="118"/>
      <c r="J2" s="118"/>
      <c r="K2" s="350"/>
      <c r="L2" s="351"/>
      <c r="M2" s="118"/>
      <c r="N2" s="118"/>
      <c r="O2" s="118"/>
      <c r="P2" s="118"/>
      <c r="Q2" s="118"/>
      <c r="R2" s="118"/>
      <c r="S2" s="118"/>
      <c r="T2" s="118"/>
      <c r="U2" s="352"/>
      <c r="V2" s="118"/>
      <c r="W2" s="118"/>
      <c r="X2" s="353"/>
      <c r="Y2" s="354" t="s">
        <v>226</v>
      </c>
    </row>
    <row r="3" spans="1:33" ht="17.25" hidden="1" customHeight="1" x14ac:dyDescent="0.25">
      <c r="A3" s="200"/>
      <c r="B3" s="200"/>
      <c r="C3" s="118"/>
      <c r="D3" s="350"/>
      <c r="E3" s="351"/>
      <c r="F3" s="118"/>
      <c r="G3" s="118"/>
      <c r="H3" s="118"/>
      <c r="I3" s="118"/>
      <c r="J3" s="118"/>
      <c r="K3" s="350"/>
      <c r="L3" s="351"/>
      <c r="M3" s="118"/>
      <c r="N3" s="118"/>
      <c r="O3" s="118"/>
      <c r="P3" s="118"/>
      <c r="Q3" s="118"/>
      <c r="R3" s="118"/>
      <c r="S3" s="118"/>
      <c r="T3" s="118"/>
      <c r="U3" s="352"/>
      <c r="V3" s="118"/>
      <c r="W3" s="118"/>
      <c r="X3" s="353"/>
      <c r="Y3" s="354" t="s">
        <v>227</v>
      </c>
    </row>
    <row r="4" spans="1:33" ht="26.25" hidden="1" customHeight="1" x14ac:dyDescent="0.25">
      <c r="A4" s="355" t="s">
        <v>183</v>
      </c>
      <c r="B4" s="204"/>
      <c r="C4" s="356"/>
      <c r="D4" s="356"/>
      <c r="E4" s="357"/>
      <c r="F4" s="356"/>
      <c r="G4" s="356"/>
      <c r="H4" s="204"/>
      <c r="I4" s="356"/>
      <c r="J4" s="356"/>
      <c r="K4" s="356"/>
      <c r="L4" s="357"/>
      <c r="M4" s="356"/>
      <c r="N4" s="356"/>
      <c r="O4" s="356"/>
      <c r="P4" s="356"/>
      <c r="Q4" s="356"/>
      <c r="R4" s="356"/>
      <c r="S4" s="356"/>
      <c r="T4" s="356"/>
      <c r="U4" s="358"/>
      <c r="V4" s="356"/>
      <c r="W4" s="356"/>
      <c r="X4" s="357"/>
      <c r="Y4" s="357"/>
    </row>
    <row r="5" spans="1:33" ht="21.75" customHeight="1" x14ac:dyDescent="0.25">
      <c r="A5" s="398"/>
      <c r="B5" s="399">
        <v>1</v>
      </c>
      <c r="C5" s="202">
        <v>2</v>
      </c>
      <c r="D5" s="202">
        <v>3</v>
      </c>
      <c r="E5" s="399">
        <v>4</v>
      </c>
      <c r="F5" s="202">
        <v>5</v>
      </c>
      <c r="G5" s="202">
        <v>6</v>
      </c>
      <c r="H5" s="399">
        <v>7</v>
      </c>
      <c r="I5" s="202">
        <v>8</v>
      </c>
      <c r="J5" s="202">
        <v>9</v>
      </c>
      <c r="K5" s="399">
        <v>10</v>
      </c>
      <c r="L5" s="202">
        <v>11</v>
      </c>
      <c r="M5" s="202">
        <v>12</v>
      </c>
      <c r="N5" s="399">
        <v>13</v>
      </c>
      <c r="O5" s="202">
        <v>14</v>
      </c>
      <c r="P5" s="202">
        <v>15</v>
      </c>
      <c r="Q5" s="399">
        <v>16</v>
      </c>
      <c r="R5" s="202">
        <v>17</v>
      </c>
      <c r="S5" s="202">
        <v>18</v>
      </c>
      <c r="T5" s="399">
        <v>19</v>
      </c>
      <c r="U5" s="202">
        <v>20</v>
      </c>
      <c r="V5" s="202">
        <v>21</v>
      </c>
      <c r="W5" s="399">
        <v>22</v>
      </c>
      <c r="X5" s="202">
        <v>23</v>
      </c>
      <c r="Y5" s="202">
        <v>24</v>
      </c>
      <c r="Z5" s="202">
        <v>25</v>
      </c>
      <c r="AA5" s="202">
        <v>26</v>
      </c>
      <c r="AB5" s="202">
        <v>27</v>
      </c>
      <c r="AC5" s="202">
        <v>28</v>
      </c>
      <c r="AD5" s="202">
        <v>29</v>
      </c>
      <c r="AE5" s="202">
        <v>30</v>
      </c>
      <c r="AF5" s="202">
        <v>31</v>
      </c>
      <c r="AG5" s="202">
        <v>32</v>
      </c>
    </row>
    <row r="6" spans="1:33" ht="48" customHeight="1" x14ac:dyDescent="0.25">
      <c r="A6" s="596" t="s">
        <v>4</v>
      </c>
      <c r="B6" s="597" t="s">
        <v>5</v>
      </c>
      <c r="C6" s="598" t="s">
        <v>6</v>
      </c>
      <c r="D6" s="592" t="s">
        <v>7</v>
      </c>
      <c r="E6" s="593"/>
      <c r="F6" s="591" t="s">
        <v>8</v>
      </c>
      <c r="G6" s="591"/>
      <c r="H6" s="359" t="s">
        <v>186</v>
      </c>
      <c r="I6" s="591" t="s">
        <v>187</v>
      </c>
      <c r="J6" s="591"/>
      <c r="K6" s="592" t="s">
        <v>9</v>
      </c>
      <c r="L6" s="593"/>
      <c r="M6" s="594" t="s">
        <v>189</v>
      </c>
      <c r="N6" s="595"/>
      <c r="O6" s="591" t="s">
        <v>167</v>
      </c>
      <c r="P6" s="591"/>
      <c r="Q6" s="594" t="s">
        <v>190</v>
      </c>
      <c r="R6" s="595"/>
      <c r="S6" s="594" t="s">
        <v>191</v>
      </c>
      <c r="T6" s="595"/>
      <c r="U6" s="591" t="s">
        <v>192</v>
      </c>
      <c r="V6" s="591"/>
      <c r="W6" s="592" t="s">
        <v>10</v>
      </c>
      <c r="X6" s="593"/>
      <c r="Y6" s="603" t="s">
        <v>11</v>
      </c>
      <c r="AB6" s="626" t="s">
        <v>235</v>
      </c>
      <c r="AC6" s="626"/>
      <c r="AD6" s="627" t="s">
        <v>236</v>
      </c>
      <c r="AE6" s="628"/>
      <c r="AF6" s="626" t="s">
        <v>234</v>
      </c>
      <c r="AG6" s="626"/>
    </row>
    <row r="7" spans="1:33" ht="34.5" customHeight="1" x14ac:dyDescent="0.25">
      <c r="A7" s="596"/>
      <c r="B7" s="597"/>
      <c r="C7" s="598"/>
      <c r="D7" s="343" t="s">
        <v>12</v>
      </c>
      <c r="E7" s="360" t="s">
        <v>13</v>
      </c>
      <c r="F7" s="343" t="s">
        <v>12</v>
      </c>
      <c r="G7" s="343" t="s">
        <v>13</v>
      </c>
      <c r="H7" s="98" t="s">
        <v>13</v>
      </c>
      <c r="I7" s="343" t="s">
        <v>12</v>
      </c>
      <c r="J7" s="343" t="s">
        <v>13</v>
      </c>
      <c r="K7" s="343" t="s">
        <v>12</v>
      </c>
      <c r="L7" s="343" t="s">
        <v>13</v>
      </c>
      <c r="M7" s="343" t="s">
        <v>12</v>
      </c>
      <c r="N7" s="343" t="s">
        <v>13</v>
      </c>
      <c r="O7" s="145" t="s">
        <v>12</v>
      </c>
      <c r="P7" s="145" t="s">
        <v>13</v>
      </c>
      <c r="Q7" s="343" t="s">
        <v>12</v>
      </c>
      <c r="R7" s="343" t="s">
        <v>13</v>
      </c>
      <c r="S7" s="343" t="s">
        <v>12</v>
      </c>
      <c r="T7" s="343" t="s">
        <v>13</v>
      </c>
      <c r="U7" s="145" t="s">
        <v>12</v>
      </c>
      <c r="V7" s="145" t="s">
        <v>13</v>
      </c>
      <c r="W7" s="343" t="s">
        <v>12</v>
      </c>
      <c r="X7" s="343" t="s">
        <v>13</v>
      </c>
      <c r="Y7" s="603"/>
      <c r="AB7" s="407" t="s">
        <v>12</v>
      </c>
      <c r="AC7" s="407" t="s">
        <v>13</v>
      </c>
      <c r="AD7" s="407" t="s">
        <v>12</v>
      </c>
      <c r="AE7" s="407" t="s">
        <v>13</v>
      </c>
      <c r="AF7" s="407" t="s">
        <v>12</v>
      </c>
      <c r="AG7" s="407" t="s">
        <v>13</v>
      </c>
    </row>
    <row r="8" spans="1:33" ht="15" hidden="1" customHeight="1" x14ac:dyDescent="0.25">
      <c r="A8" s="5">
        <v>1</v>
      </c>
      <c r="B8" s="5">
        <v>390930</v>
      </c>
      <c r="C8" s="6" t="s">
        <v>180</v>
      </c>
      <c r="D8" s="299">
        <v>0</v>
      </c>
      <c r="E8" s="340">
        <v>0</v>
      </c>
      <c r="F8" s="96"/>
      <c r="G8" s="97"/>
      <c r="H8" s="436">
        <v>0</v>
      </c>
      <c r="I8" s="97"/>
      <c r="J8" s="97"/>
      <c r="K8" s="101">
        <v>21707</v>
      </c>
      <c r="L8" s="341">
        <v>6834.0148099999997</v>
      </c>
      <c r="M8" s="96">
        <v>0</v>
      </c>
      <c r="N8" s="97">
        <v>0</v>
      </c>
      <c r="O8" s="96">
        <v>0</v>
      </c>
      <c r="P8" s="97">
        <v>0</v>
      </c>
      <c r="Q8" s="96">
        <v>0</v>
      </c>
      <c r="R8" s="97">
        <v>0</v>
      </c>
      <c r="S8" s="96">
        <v>0</v>
      </c>
      <c r="T8" s="97">
        <v>0</v>
      </c>
      <c r="U8" s="96"/>
      <c r="V8" s="97"/>
      <c r="W8" s="101">
        <v>0</v>
      </c>
      <c r="X8" s="341">
        <v>0</v>
      </c>
      <c r="Y8" s="411">
        <f t="shared" ref="Y8:Y71" si="0">E8+L8+X8</f>
        <v>6834.0148099999997</v>
      </c>
      <c r="Z8" s="318">
        <f>VLOOKUP(B8,'АПП+Стомат._план'!$B$4:$AQ$89,42,FALSE)/1000</f>
        <v>15202.192499999999</v>
      </c>
      <c r="AA8" s="401">
        <f>Y8-Z8</f>
        <v>-8368.1776900000004</v>
      </c>
      <c r="AB8" s="96"/>
      <c r="AC8" s="97"/>
      <c r="AD8" s="96"/>
      <c r="AE8" s="97"/>
      <c r="AF8" s="96"/>
      <c r="AG8" s="97"/>
    </row>
    <row r="9" spans="1:33" ht="15" hidden="1" customHeight="1" x14ac:dyDescent="0.25">
      <c r="A9" s="5">
        <v>2</v>
      </c>
      <c r="B9" s="5">
        <v>390800</v>
      </c>
      <c r="C9" s="6" t="s">
        <v>89</v>
      </c>
      <c r="D9" s="299">
        <v>1300</v>
      </c>
      <c r="E9" s="340">
        <v>31003.787000000008</v>
      </c>
      <c r="F9" s="98"/>
      <c r="G9" s="98"/>
      <c r="H9" s="436">
        <v>0</v>
      </c>
      <c r="I9" s="98"/>
      <c r="J9" s="97"/>
      <c r="K9" s="101">
        <v>66192</v>
      </c>
      <c r="L9" s="341">
        <v>20839.227360000001</v>
      </c>
      <c r="M9" s="96">
        <v>0</v>
      </c>
      <c r="N9" s="97">
        <v>0</v>
      </c>
      <c r="O9" s="96">
        <v>0</v>
      </c>
      <c r="P9" s="97">
        <v>0</v>
      </c>
      <c r="Q9" s="96">
        <v>0</v>
      </c>
      <c r="R9" s="97">
        <v>0</v>
      </c>
      <c r="S9" s="96">
        <v>0</v>
      </c>
      <c r="T9" s="97">
        <v>0</v>
      </c>
      <c r="U9" s="96"/>
      <c r="V9" s="97"/>
      <c r="W9" s="101">
        <v>26000</v>
      </c>
      <c r="X9" s="341">
        <v>30898.14</v>
      </c>
      <c r="Y9" s="411">
        <f t="shared" si="0"/>
        <v>82741.154360000015</v>
      </c>
      <c r="Z9" s="318">
        <f>VLOOKUP(B9,'АПП+Стомат._план'!$B$4:$AQ$89,42,FALSE)/1000</f>
        <v>80595.743919999994</v>
      </c>
      <c r="AA9" s="401">
        <f t="shared" ref="AA9:AA71" si="1">Y9-Z9</f>
        <v>2145.4104400000215</v>
      </c>
      <c r="AB9" s="96"/>
      <c r="AC9" s="97"/>
      <c r="AD9" s="96"/>
      <c r="AE9" s="97"/>
      <c r="AF9" s="96"/>
      <c r="AG9" s="97"/>
    </row>
    <row r="10" spans="1:33" ht="15" hidden="1" customHeight="1" x14ac:dyDescent="0.25">
      <c r="A10" s="5">
        <v>3</v>
      </c>
      <c r="B10" s="5">
        <v>391100</v>
      </c>
      <c r="C10" s="6" t="s">
        <v>103</v>
      </c>
      <c r="D10" s="299">
        <v>0</v>
      </c>
      <c r="E10" s="340">
        <v>67932</v>
      </c>
      <c r="F10" s="98"/>
      <c r="G10" s="98"/>
      <c r="H10" s="436">
        <v>66040</v>
      </c>
      <c r="I10" s="98"/>
      <c r="J10" s="97"/>
      <c r="K10" s="101">
        <v>2828</v>
      </c>
      <c r="L10" s="341">
        <v>890.33924000000002</v>
      </c>
      <c r="M10" s="96">
        <v>0</v>
      </c>
      <c r="N10" s="97">
        <v>0</v>
      </c>
      <c r="O10" s="96">
        <v>0</v>
      </c>
      <c r="P10" s="97">
        <v>0</v>
      </c>
      <c r="Q10" s="96">
        <v>0</v>
      </c>
      <c r="R10" s="97">
        <v>0</v>
      </c>
      <c r="S10" s="96">
        <v>0</v>
      </c>
      <c r="T10" s="97">
        <v>0</v>
      </c>
      <c r="U10" s="96"/>
      <c r="V10" s="97"/>
      <c r="W10" s="101">
        <v>0</v>
      </c>
      <c r="X10" s="341">
        <v>0</v>
      </c>
      <c r="Y10" s="411">
        <f t="shared" si="0"/>
        <v>68822.339240000001</v>
      </c>
      <c r="Z10" s="318">
        <f>VLOOKUP(B10,'АПП+Стомат._план'!$B$4:$AQ$89,42,FALSE)/1000</f>
        <v>32048.128769999999</v>
      </c>
      <c r="AA10" s="401">
        <f t="shared" si="1"/>
        <v>36774.210470000005</v>
      </c>
      <c r="AB10" s="96"/>
      <c r="AC10" s="97"/>
      <c r="AD10" s="96"/>
      <c r="AE10" s="97"/>
      <c r="AF10" s="96"/>
      <c r="AG10" s="97"/>
    </row>
    <row r="11" spans="1:33" ht="15" hidden="1" customHeight="1" x14ac:dyDescent="0.25">
      <c r="A11" s="5">
        <v>4</v>
      </c>
      <c r="B11" s="5">
        <v>390470</v>
      </c>
      <c r="C11" s="6" t="s">
        <v>88</v>
      </c>
      <c r="D11" s="299">
        <v>10200</v>
      </c>
      <c r="E11" s="340">
        <v>131788.30799999999</v>
      </c>
      <c r="F11" s="98"/>
      <c r="G11" s="98"/>
      <c r="H11" s="436">
        <v>0</v>
      </c>
      <c r="I11" s="98"/>
      <c r="J11" s="97"/>
      <c r="K11" s="101">
        <v>192460</v>
      </c>
      <c r="L11" s="341">
        <v>60592.181799999998</v>
      </c>
      <c r="M11" s="96">
        <v>0</v>
      </c>
      <c r="N11" s="97">
        <v>0</v>
      </c>
      <c r="O11" s="96">
        <v>0</v>
      </c>
      <c r="P11" s="97">
        <v>0</v>
      </c>
      <c r="Q11" s="96">
        <v>0</v>
      </c>
      <c r="R11" s="97">
        <v>0</v>
      </c>
      <c r="S11" s="96">
        <v>0</v>
      </c>
      <c r="T11" s="97">
        <v>0</v>
      </c>
      <c r="U11" s="96"/>
      <c r="V11" s="97"/>
      <c r="W11" s="101">
        <v>0</v>
      </c>
      <c r="X11" s="341">
        <v>0</v>
      </c>
      <c r="Y11" s="411">
        <f t="shared" si="0"/>
        <v>192380.48979999998</v>
      </c>
      <c r="Z11" s="318">
        <f>VLOOKUP(B11,'АПП+Стомат._план'!$B$4:$AQ$89,42,FALSE)/1000</f>
        <v>144282.24334999998</v>
      </c>
      <c r="AA11" s="401">
        <f t="shared" si="1"/>
        <v>48098.246450000006</v>
      </c>
      <c r="AB11" s="96"/>
      <c r="AC11" s="97"/>
      <c r="AD11" s="96"/>
      <c r="AE11" s="97"/>
      <c r="AF11" s="96"/>
      <c r="AG11" s="97"/>
    </row>
    <row r="12" spans="1:33" ht="15" hidden="1" customHeight="1" x14ac:dyDescent="0.25">
      <c r="A12" s="5">
        <v>5</v>
      </c>
      <c r="B12" s="5">
        <v>390762</v>
      </c>
      <c r="C12" s="6" t="s">
        <v>111</v>
      </c>
      <c r="D12" s="299">
        <v>0</v>
      </c>
      <c r="E12" s="340">
        <v>0</v>
      </c>
      <c r="F12" s="98"/>
      <c r="G12" s="98"/>
      <c r="H12" s="436">
        <v>0</v>
      </c>
      <c r="I12" s="98"/>
      <c r="J12" s="97"/>
      <c r="K12" s="101">
        <v>2366</v>
      </c>
      <c r="L12" s="341">
        <v>23274.73328</v>
      </c>
      <c r="M12" s="96">
        <v>0</v>
      </c>
      <c r="N12" s="97">
        <v>0</v>
      </c>
      <c r="O12" s="96">
        <v>0</v>
      </c>
      <c r="P12" s="97">
        <v>0</v>
      </c>
      <c r="Q12" s="96">
        <v>0</v>
      </c>
      <c r="R12" s="97">
        <v>0</v>
      </c>
      <c r="S12" s="96">
        <v>0</v>
      </c>
      <c r="T12" s="97">
        <v>0</v>
      </c>
      <c r="U12" s="96">
        <v>1150</v>
      </c>
      <c r="V12" s="97">
        <v>22891.9</v>
      </c>
      <c r="W12" s="101">
        <v>0</v>
      </c>
      <c r="X12" s="341">
        <v>0</v>
      </c>
      <c r="Y12" s="411">
        <f t="shared" si="0"/>
        <v>23274.73328</v>
      </c>
      <c r="Z12" s="318">
        <f>VLOOKUP(B12,'АПП+Стомат._план'!$B$4:$AQ$89,42,FALSE)/1000</f>
        <v>26462.165780000003</v>
      </c>
      <c r="AA12" s="401">
        <f t="shared" si="1"/>
        <v>-3187.4325000000026</v>
      </c>
      <c r="AB12" s="96">
        <v>115</v>
      </c>
      <c r="AC12" s="97">
        <v>2404.1325000000002</v>
      </c>
      <c r="AD12" s="96">
        <v>63</v>
      </c>
      <c r="AE12" s="97">
        <v>1322.2728750000001</v>
      </c>
      <c r="AF12" s="96"/>
      <c r="AG12" s="97"/>
    </row>
    <row r="13" spans="1:33" ht="15" hidden="1" customHeight="1" x14ac:dyDescent="0.25">
      <c r="A13" s="5">
        <v>6</v>
      </c>
      <c r="B13" s="5">
        <v>390050</v>
      </c>
      <c r="C13" s="6" t="s">
        <v>98</v>
      </c>
      <c r="D13" s="299">
        <v>25500</v>
      </c>
      <c r="E13" s="340">
        <v>66554.975000000006</v>
      </c>
      <c r="F13" s="98"/>
      <c r="G13" s="98"/>
      <c r="H13" s="436">
        <v>15000</v>
      </c>
      <c r="I13" s="98"/>
      <c r="J13" s="97"/>
      <c r="K13" s="101">
        <v>51556</v>
      </c>
      <c r="L13" s="341">
        <v>16231.375480000001</v>
      </c>
      <c r="M13" s="96">
        <v>0</v>
      </c>
      <c r="N13" s="97">
        <v>0</v>
      </c>
      <c r="O13" s="96">
        <v>0</v>
      </c>
      <c r="P13" s="97">
        <v>0</v>
      </c>
      <c r="Q13" s="96">
        <v>0</v>
      </c>
      <c r="R13" s="97">
        <v>0</v>
      </c>
      <c r="S13" s="96">
        <v>0</v>
      </c>
      <c r="T13" s="97">
        <v>0</v>
      </c>
      <c r="U13" s="96"/>
      <c r="V13" s="97"/>
      <c r="W13" s="101">
        <v>0</v>
      </c>
      <c r="X13" s="341">
        <v>0</v>
      </c>
      <c r="Y13" s="411">
        <f t="shared" si="0"/>
        <v>82786.350480000008</v>
      </c>
      <c r="Z13" s="318">
        <f>VLOOKUP(B13,'АПП+Стомат._план'!$B$4:$AQ$89,42,FALSE)/1000</f>
        <v>60350.078770000007</v>
      </c>
      <c r="AA13" s="401">
        <f t="shared" si="1"/>
        <v>22436.271710000001</v>
      </c>
      <c r="AB13" s="96"/>
      <c r="AC13" s="97"/>
      <c r="AD13" s="96"/>
      <c r="AE13" s="97"/>
      <c r="AF13" s="96"/>
      <c r="AG13" s="97"/>
    </row>
    <row r="14" spans="1:33" ht="15" hidden="1" customHeight="1" x14ac:dyDescent="0.25">
      <c r="A14" s="5">
        <v>7</v>
      </c>
      <c r="B14" s="5">
        <v>390070</v>
      </c>
      <c r="C14" s="6" t="s">
        <v>87</v>
      </c>
      <c r="D14" s="299">
        <v>0</v>
      </c>
      <c r="E14" s="340">
        <v>38815.850000000006</v>
      </c>
      <c r="F14" s="98"/>
      <c r="G14" s="98"/>
      <c r="H14" s="436">
        <v>0</v>
      </c>
      <c r="I14" s="98"/>
      <c r="J14" s="97"/>
      <c r="K14" s="101">
        <v>0</v>
      </c>
      <c r="L14" s="341">
        <v>0</v>
      </c>
      <c r="M14" s="96">
        <v>0</v>
      </c>
      <c r="N14" s="97">
        <v>0</v>
      </c>
      <c r="O14" s="96">
        <v>0</v>
      </c>
      <c r="P14" s="97">
        <v>0</v>
      </c>
      <c r="Q14" s="96">
        <v>0</v>
      </c>
      <c r="R14" s="97">
        <v>0</v>
      </c>
      <c r="S14" s="96">
        <v>0</v>
      </c>
      <c r="T14" s="97">
        <v>0</v>
      </c>
      <c r="U14" s="96"/>
      <c r="V14" s="97"/>
      <c r="W14" s="101">
        <v>52000</v>
      </c>
      <c r="X14" s="341">
        <v>61796.28</v>
      </c>
      <c r="Y14" s="411">
        <f t="shared" si="0"/>
        <v>100612.13</v>
      </c>
      <c r="Z14" s="318">
        <f>VLOOKUP(B14,'АПП+Стомат._план'!$B$4:$AQ$89,42,FALSE)/1000</f>
        <v>121085.97696</v>
      </c>
      <c r="AA14" s="401">
        <f t="shared" si="1"/>
        <v>-20473.846959999995</v>
      </c>
      <c r="AB14" s="96"/>
      <c r="AC14" s="97"/>
      <c r="AD14" s="96"/>
      <c r="AE14" s="97"/>
      <c r="AF14" s="96"/>
      <c r="AG14" s="97"/>
    </row>
    <row r="15" spans="1:33" ht="15" hidden="1" customHeight="1" x14ac:dyDescent="0.25">
      <c r="A15" s="5">
        <v>8</v>
      </c>
      <c r="B15" s="5">
        <v>390520</v>
      </c>
      <c r="C15" s="6" t="s">
        <v>112</v>
      </c>
      <c r="D15" s="299">
        <v>0</v>
      </c>
      <c r="E15" s="340">
        <v>0</v>
      </c>
      <c r="F15" s="98"/>
      <c r="G15" s="98"/>
      <c r="H15" s="436">
        <v>0</v>
      </c>
      <c r="I15" s="98"/>
      <c r="J15" s="97"/>
      <c r="K15" s="101">
        <v>0</v>
      </c>
      <c r="L15" s="341">
        <v>0</v>
      </c>
      <c r="M15" s="96">
        <v>0</v>
      </c>
      <c r="N15" s="97">
        <v>0</v>
      </c>
      <c r="O15" s="96">
        <v>0</v>
      </c>
      <c r="P15" s="97">
        <v>0</v>
      </c>
      <c r="Q15" s="96">
        <v>0</v>
      </c>
      <c r="R15" s="97">
        <v>0</v>
      </c>
      <c r="S15" s="96">
        <v>0</v>
      </c>
      <c r="T15" s="97">
        <v>0</v>
      </c>
      <c r="U15" s="96"/>
      <c r="V15" s="97"/>
      <c r="W15" s="101">
        <v>55600</v>
      </c>
      <c r="X15" s="341">
        <v>37296.480000000003</v>
      </c>
      <c r="Y15" s="411">
        <f t="shared" si="0"/>
        <v>37296.480000000003</v>
      </c>
      <c r="Z15" s="318">
        <f>VLOOKUP(B15,'АПП+Стомат._план'!$B$4:$AQ$89,42,FALSE)/1000</f>
        <v>67742.750400000004</v>
      </c>
      <c r="AA15" s="401">
        <f t="shared" si="1"/>
        <v>-30446.270400000001</v>
      </c>
      <c r="AB15" s="96"/>
      <c r="AC15" s="97"/>
      <c r="AD15" s="101"/>
      <c r="AE15" s="217"/>
      <c r="AF15" s="96"/>
      <c r="AG15" s="97"/>
    </row>
    <row r="16" spans="1:33" ht="15" hidden="1" customHeight="1" x14ac:dyDescent="0.25">
      <c r="A16" s="5">
        <v>9</v>
      </c>
      <c r="B16" s="5">
        <v>390130</v>
      </c>
      <c r="C16" s="6" t="s">
        <v>113</v>
      </c>
      <c r="D16" s="299">
        <v>5017</v>
      </c>
      <c r="E16" s="340">
        <v>6643.9629299999997</v>
      </c>
      <c r="F16" s="98"/>
      <c r="G16" s="98"/>
      <c r="H16" s="436">
        <v>0</v>
      </c>
      <c r="I16" s="98"/>
      <c r="J16" s="97"/>
      <c r="K16" s="101">
        <v>70841</v>
      </c>
      <c r="L16" s="341">
        <v>22302.872030000002</v>
      </c>
      <c r="M16" s="96">
        <v>0</v>
      </c>
      <c r="N16" s="97">
        <v>0</v>
      </c>
      <c r="O16" s="96">
        <v>0</v>
      </c>
      <c r="P16" s="97">
        <v>0</v>
      </c>
      <c r="Q16" s="96">
        <v>0</v>
      </c>
      <c r="R16" s="97">
        <v>0</v>
      </c>
      <c r="S16" s="96">
        <v>0</v>
      </c>
      <c r="T16" s="97">
        <v>0</v>
      </c>
      <c r="U16" s="96"/>
      <c r="V16" s="97"/>
      <c r="W16" s="101">
        <v>0</v>
      </c>
      <c r="X16" s="341">
        <v>0</v>
      </c>
      <c r="Y16" s="411">
        <f t="shared" si="0"/>
        <v>28946.83496</v>
      </c>
      <c r="Z16" s="318">
        <f>VLOOKUP(B16,'АПП+Стомат._план'!$B$4:$AQ$89,42,FALSE)/1000</f>
        <v>36294.085049999994</v>
      </c>
      <c r="AA16" s="401">
        <f t="shared" si="1"/>
        <v>-7347.2500899999941</v>
      </c>
      <c r="AB16" s="96"/>
      <c r="AC16" s="97"/>
      <c r="AD16" s="96"/>
      <c r="AE16" s="97"/>
      <c r="AF16" s="96"/>
      <c r="AG16" s="97"/>
    </row>
    <row r="17" spans="1:33" ht="15" hidden="1" customHeight="1" x14ac:dyDescent="0.25">
      <c r="A17" s="5">
        <v>10</v>
      </c>
      <c r="B17" s="5">
        <v>390680</v>
      </c>
      <c r="C17" s="6" t="s">
        <v>114</v>
      </c>
      <c r="D17" s="299">
        <v>12356</v>
      </c>
      <c r="E17" s="340">
        <v>16362.927240000001</v>
      </c>
      <c r="F17" s="98"/>
      <c r="G17" s="98"/>
      <c r="H17" s="436">
        <v>0</v>
      </c>
      <c r="I17" s="98"/>
      <c r="J17" s="97"/>
      <c r="K17" s="101">
        <v>79061</v>
      </c>
      <c r="L17" s="341">
        <v>24890.77463</v>
      </c>
      <c r="M17" s="96">
        <v>0</v>
      </c>
      <c r="N17" s="97">
        <v>0</v>
      </c>
      <c r="O17" s="96">
        <v>0</v>
      </c>
      <c r="P17" s="97">
        <v>0</v>
      </c>
      <c r="Q17" s="96">
        <v>0</v>
      </c>
      <c r="R17" s="97">
        <v>0</v>
      </c>
      <c r="S17" s="96">
        <v>0</v>
      </c>
      <c r="T17" s="97">
        <v>0</v>
      </c>
      <c r="U17" s="96"/>
      <c r="V17" s="97"/>
      <c r="W17" s="101">
        <v>0</v>
      </c>
      <c r="X17" s="341">
        <v>0</v>
      </c>
      <c r="Y17" s="411">
        <f t="shared" si="0"/>
        <v>41253.701870000004</v>
      </c>
      <c r="Z17" s="318">
        <f>VLOOKUP(B17,'АПП+Стомат._план'!$B$4:$AQ$89,42,FALSE)/1000</f>
        <v>49166.876320000003</v>
      </c>
      <c r="AA17" s="401">
        <f t="shared" si="1"/>
        <v>-7913.1744499999986</v>
      </c>
      <c r="AB17" s="96"/>
      <c r="AC17" s="97"/>
      <c r="AD17" s="96"/>
      <c r="AE17" s="97"/>
      <c r="AF17" s="96"/>
      <c r="AG17" s="97"/>
    </row>
    <row r="18" spans="1:33" ht="15" hidden="1" customHeight="1" x14ac:dyDescent="0.25">
      <c r="A18" s="5">
        <v>11</v>
      </c>
      <c r="B18" s="5">
        <v>390700</v>
      </c>
      <c r="C18" s="6" t="s">
        <v>115</v>
      </c>
      <c r="D18" s="299">
        <v>590</v>
      </c>
      <c r="E18" s="340">
        <v>781.33109999999999</v>
      </c>
      <c r="F18" s="98"/>
      <c r="G18" s="98"/>
      <c r="H18" s="436">
        <v>0</v>
      </c>
      <c r="I18" s="98"/>
      <c r="J18" s="97"/>
      <c r="K18" s="101">
        <v>1800</v>
      </c>
      <c r="L18" s="341">
        <v>566.69399999999996</v>
      </c>
      <c r="M18" s="96">
        <v>0</v>
      </c>
      <c r="N18" s="97">
        <v>0</v>
      </c>
      <c r="O18" s="96">
        <v>0</v>
      </c>
      <c r="P18" s="97">
        <v>0</v>
      </c>
      <c r="Q18" s="96">
        <v>0</v>
      </c>
      <c r="R18" s="97">
        <v>0</v>
      </c>
      <c r="S18" s="96">
        <v>0</v>
      </c>
      <c r="T18" s="97">
        <v>0</v>
      </c>
      <c r="U18" s="96"/>
      <c r="V18" s="97"/>
      <c r="W18" s="101">
        <v>0</v>
      </c>
      <c r="X18" s="341">
        <v>0</v>
      </c>
      <c r="Y18" s="411">
        <f t="shared" si="0"/>
        <v>1348.0250999999998</v>
      </c>
      <c r="Z18" s="318">
        <f>VLOOKUP(B18,'АПП+Стомат._план'!$B$4:$AQ$89,42,FALSE)/1000</f>
        <v>1565.1623599999998</v>
      </c>
      <c r="AA18" s="401">
        <f t="shared" si="1"/>
        <v>-217.13725999999997</v>
      </c>
      <c r="AB18" s="96"/>
      <c r="AC18" s="97"/>
      <c r="AD18" s="96"/>
      <c r="AE18" s="97"/>
      <c r="AF18" s="96"/>
      <c r="AG18" s="97"/>
    </row>
    <row r="19" spans="1:33" ht="15" hidden="1" customHeight="1" x14ac:dyDescent="0.25">
      <c r="A19" s="5">
        <v>12</v>
      </c>
      <c r="B19" s="5">
        <v>391610</v>
      </c>
      <c r="C19" s="6" t="s">
        <v>104</v>
      </c>
      <c r="D19" s="299">
        <v>0</v>
      </c>
      <c r="E19" s="340">
        <v>24696.440000000002</v>
      </c>
      <c r="F19" s="98"/>
      <c r="G19" s="98"/>
      <c r="H19" s="436">
        <v>0</v>
      </c>
      <c r="I19" s="98"/>
      <c r="J19" s="97"/>
      <c r="K19" s="101">
        <v>21615</v>
      </c>
      <c r="L19" s="341">
        <v>6805.0504500000006</v>
      </c>
      <c r="M19" s="96">
        <v>0</v>
      </c>
      <c r="N19" s="97">
        <v>0</v>
      </c>
      <c r="O19" s="96">
        <v>0</v>
      </c>
      <c r="P19" s="97">
        <v>0</v>
      </c>
      <c r="Q19" s="96">
        <v>0</v>
      </c>
      <c r="R19" s="97">
        <v>0</v>
      </c>
      <c r="S19" s="96">
        <v>0</v>
      </c>
      <c r="T19" s="97">
        <v>0</v>
      </c>
      <c r="U19" s="96"/>
      <c r="V19" s="97"/>
      <c r="W19" s="101">
        <v>0</v>
      </c>
      <c r="X19" s="341">
        <v>0</v>
      </c>
      <c r="Y19" s="411">
        <f t="shared" si="0"/>
        <v>31501.490450000005</v>
      </c>
      <c r="Z19" s="318">
        <f>VLOOKUP(B19,'АПП+Стомат._план'!$B$4:$AQ$89,42,FALSE)/1000</f>
        <v>13658.147939999999</v>
      </c>
      <c r="AA19" s="401">
        <f t="shared" si="1"/>
        <v>17843.342510000006</v>
      </c>
      <c r="AB19" s="96"/>
      <c r="AC19" s="97"/>
      <c r="AD19" s="101"/>
      <c r="AE19" s="217"/>
      <c r="AF19" s="96"/>
      <c r="AG19" s="97"/>
    </row>
    <row r="20" spans="1:33" ht="15" customHeight="1" x14ac:dyDescent="0.25">
      <c r="A20" s="5">
        <v>13</v>
      </c>
      <c r="B20" s="5">
        <v>390440</v>
      </c>
      <c r="C20" s="238" t="s">
        <v>95</v>
      </c>
      <c r="D20" s="299">
        <v>133043</v>
      </c>
      <c r="E20" s="340">
        <v>140712.25774</v>
      </c>
      <c r="F20" s="98"/>
      <c r="G20" s="98"/>
      <c r="H20" s="436">
        <v>26000</v>
      </c>
      <c r="I20" s="98"/>
      <c r="J20" s="98"/>
      <c r="K20" s="299">
        <v>219541</v>
      </c>
      <c r="L20" s="340">
        <v>181594.45689344773</v>
      </c>
      <c r="M20" s="96">
        <v>30640</v>
      </c>
      <c r="N20" s="97">
        <v>89472.080790000007</v>
      </c>
      <c r="O20" s="96">
        <v>9086</v>
      </c>
      <c r="P20" s="97">
        <v>9850.132599999999</v>
      </c>
      <c r="Q20" s="96">
        <v>8364</v>
      </c>
      <c r="R20" s="97">
        <v>12534.132889999999</v>
      </c>
      <c r="S20" s="96">
        <v>31603</v>
      </c>
      <c r="T20" s="97">
        <v>40092.107810000001</v>
      </c>
      <c r="U20" s="96"/>
      <c r="V20" s="97"/>
      <c r="W20" s="299">
        <v>38121</v>
      </c>
      <c r="X20" s="340">
        <v>26518.111230000002</v>
      </c>
      <c r="Y20" s="411">
        <f t="shared" si="0"/>
        <v>348824.82586344768</v>
      </c>
      <c r="Z20" s="318">
        <f>VLOOKUP(B20,'АПП+Стомат._план'!$B$4:$AQ$89,42,FALSE)/1000</f>
        <v>326762.20054634253</v>
      </c>
      <c r="AA20" s="401">
        <f t="shared" si="1"/>
        <v>22062.62531710515</v>
      </c>
      <c r="AB20" s="96"/>
      <c r="AC20" s="97"/>
      <c r="AD20" s="96"/>
      <c r="AE20" s="97"/>
      <c r="AF20" s="96">
        <v>464</v>
      </c>
      <c r="AG20" s="97">
        <v>427.75851821672052</v>
      </c>
    </row>
    <row r="21" spans="1:33" ht="15" customHeight="1" x14ac:dyDescent="0.25">
      <c r="A21" s="5">
        <v>14</v>
      </c>
      <c r="B21" s="5">
        <v>390100</v>
      </c>
      <c r="C21" s="238" t="s">
        <v>93</v>
      </c>
      <c r="D21" s="299">
        <v>107695</v>
      </c>
      <c r="E21" s="340">
        <v>87658.695120000004</v>
      </c>
      <c r="F21" s="98"/>
      <c r="G21" s="98"/>
      <c r="H21" s="436">
        <v>0</v>
      </c>
      <c r="I21" s="98"/>
      <c r="J21" s="98"/>
      <c r="K21" s="299">
        <v>176529</v>
      </c>
      <c r="L21" s="340">
        <v>146304.19354898241</v>
      </c>
      <c r="M21" s="96">
        <v>23567</v>
      </c>
      <c r="N21" s="97">
        <v>68449.422539999985</v>
      </c>
      <c r="O21" s="96">
        <v>6650</v>
      </c>
      <c r="P21" s="97">
        <v>7209.2650000000003</v>
      </c>
      <c r="Q21" s="96">
        <v>9200</v>
      </c>
      <c r="R21" s="97">
        <v>15809.491100000001</v>
      </c>
      <c r="S21" s="96">
        <v>24332</v>
      </c>
      <c r="T21" s="97">
        <v>30868.03457</v>
      </c>
      <c r="U21" s="96"/>
      <c r="V21" s="97"/>
      <c r="W21" s="299">
        <v>30474</v>
      </c>
      <c r="X21" s="340">
        <v>21198.62862</v>
      </c>
      <c r="Y21" s="411">
        <f t="shared" si="0"/>
        <v>255161.51728898243</v>
      </c>
      <c r="Z21" s="318">
        <f>VLOOKUP(B21,'АПП+Стомат._план'!$B$4:$AQ$89,42,FALSE)/1000</f>
        <v>242222.2183413883</v>
      </c>
      <c r="AA21" s="401">
        <f t="shared" si="1"/>
        <v>12939.298947594129</v>
      </c>
      <c r="AB21" s="96"/>
      <c r="AC21" s="97"/>
      <c r="AD21" s="96"/>
      <c r="AE21" s="97"/>
      <c r="AF21" s="96">
        <v>828</v>
      </c>
      <c r="AG21" s="97">
        <v>763.4116826145198</v>
      </c>
    </row>
    <row r="22" spans="1:33" ht="15" customHeight="1" x14ac:dyDescent="0.25">
      <c r="A22" s="5">
        <v>15</v>
      </c>
      <c r="B22" s="5">
        <v>390090</v>
      </c>
      <c r="C22" s="238" t="s">
        <v>92</v>
      </c>
      <c r="D22" s="299">
        <v>106259</v>
      </c>
      <c r="E22" s="340">
        <v>83870.829459999994</v>
      </c>
      <c r="F22" s="98"/>
      <c r="G22" s="98"/>
      <c r="H22" s="436">
        <v>0</v>
      </c>
      <c r="I22" s="98"/>
      <c r="J22" s="98"/>
      <c r="K22" s="299">
        <v>153045</v>
      </c>
      <c r="L22" s="340">
        <v>115802.08908981265</v>
      </c>
      <c r="M22" s="96">
        <v>24489</v>
      </c>
      <c r="N22" s="97">
        <v>71539.61666</v>
      </c>
      <c r="O22" s="96">
        <v>7338</v>
      </c>
      <c r="P22" s="97">
        <v>7955.1257999999998</v>
      </c>
      <c r="Q22" s="96">
        <v>5844</v>
      </c>
      <c r="R22" s="97">
        <v>8133.8885599999994</v>
      </c>
      <c r="S22" s="96">
        <v>4097</v>
      </c>
      <c r="T22" s="97">
        <v>5197.0939000000008</v>
      </c>
      <c r="U22" s="96"/>
      <c r="V22" s="97"/>
      <c r="W22" s="299">
        <v>30128</v>
      </c>
      <c r="X22" s="340">
        <v>20957.940640000001</v>
      </c>
      <c r="Y22" s="411">
        <f t="shared" si="0"/>
        <v>220630.85918981262</v>
      </c>
      <c r="Z22" s="318">
        <f>VLOOKUP(B22,'АПП+Стомат._план'!$B$4:$AQ$89,42,FALSE)/1000</f>
        <v>259680.60593796315</v>
      </c>
      <c r="AA22" s="401">
        <f t="shared" si="1"/>
        <v>-39049.74674815053</v>
      </c>
      <c r="AB22" s="96"/>
      <c r="AC22" s="97"/>
      <c r="AD22" s="96"/>
      <c r="AE22" s="97"/>
      <c r="AF22" s="96">
        <v>453</v>
      </c>
      <c r="AG22" s="97">
        <v>417.13097739146036</v>
      </c>
    </row>
    <row r="23" spans="1:33" ht="15" customHeight="1" x14ac:dyDescent="0.25">
      <c r="A23" s="5">
        <v>16</v>
      </c>
      <c r="B23" s="5">
        <v>390400</v>
      </c>
      <c r="C23" s="238" t="s">
        <v>94</v>
      </c>
      <c r="D23" s="299">
        <v>227613</v>
      </c>
      <c r="E23" s="340">
        <v>317210.29155000002</v>
      </c>
      <c r="F23" s="98"/>
      <c r="G23" s="98"/>
      <c r="H23" s="436">
        <v>0</v>
      </c>
      <c r="I23" s="98"/>
      <c r="J23" s="98"/>
      <c r="K23" s="299">
        <v>374624</v>
      </c>
      <c r="L23" s="340">
        <v>186507.80535748726</v>
      </c>
      <c r="M23" s="96">
        <v>52950</v>
      </c>
      <c r="N23" s="97">
        <v>154728.07638999997</v>
      </c>
      <c r="O23" s="96">
        <v>15298</v>
      </c>
      <c r="P23" s="97">
        <v>16584.599699999999</v>
      </c>
      <c r="Q23" s="96">
        <v>12633</v>
      </c>
      <c r="R23" s="97">
        <v>17589.200270000001</v>
      </c>
      <c r="S23" s="96">
        <v>54616</v>
      </c>
      <c r="T23" s="97">
        <v>69286.023829999991</v>
      </c>
      <c r="U23" s="96"/>
      <c r="V23" s="97"/>
      <c r="W23" s="299">
        <v>65091</v>
      </c>
      <c r="X23" s="340">
        <v>45278.610780000003</v>
      </c>
      <c r="Y23" s="411">
        <f t="shared" si="0"/>
        <v>548996.70768748724</v>
      </c>
      <c r="Z23" s="318">
        <f>VLOOKUP(B23,'АПП+Стомат._план'!$B$4:$AQ$89,42,FALSE)/1000</f>
        <v>565368.93752557028</v>
      </c>
      <c r="AA23" s="404">
        <f>Y23-Z23</f>
        <v>-16372.229838083033</v>
      </c>
      <c r="AB23" s="96"/>
      <c r="AC23" s="97"/>
      <c r="AD23" s="101"/>
      <c r="AE23" s="217"/>
      <c r="AF23" s="96">
        <v>1523</v>
      </c>
      <c r="AG23" s="97">
        <v>1403.7210173364429</v>
      </c>
    </row>
    <row r="24" spans="1:33" ht="15" customHeight="1" x14ac:dyDescent="0.25">
      <c r="A24" s="5">
        <v>17</v>
      </c>
      <c r="B24" s="5">
        <v>390110</v>
      </c>
      <c r="C24" s="238" t="s">
        <v>99</v>
      </c>
      <c r="D24" s="299">
        <v>17231</v>
      </c>
      <c r="E24" s="340">
        <v>11283.26053</v>
      </c>
      <c r="F24" s="98"/>
      <c r="G24" s="98"/>
      <c r="H24" s="436">
        <v>0</v>
      </c>
      <c r="I24" s="98"/>
      <c r="J24" s="98"/>
      <c r="K24" s="299">
        <v>49399</v>
      </c>
      <c r="L24" s="340">
        <v>48962.838423761365</v>
      </c>
      <c r="M24" s="96">
        <v>3938</v>
      </c>
      <c r="N24" s="97">
        <v>11119.470160000001</v>
      </c>
      <c r="O24" s="96">
        <v>1197</v>
      </c>
      <c r="P24" s="97">
        <v>1297.6677</v>
      </c>
      <c r="Q24" s="96">
        <v>958</v>
      </c>
      <c r="R24" s="97">
        <v>1295.1396399999999</v>
      </c>
      <c r="S24" s="96">
        <v>25261</v>
      </c>
      <c r="T24" s="97">
        <v>32046.570239999997</v>
      </c>
      <c r="U24" s="96"/>
      <c r="V24" s="97"/>
      <c r="W24" s="299">
        <v>4886</v>
      </c>
      <c r="X24" s="340">
        <v>3398.84818</v>
      </c>
      <c r="Y24" s="411">
        <f t="shared" si="0"/>
        <v>63644.947133761365</v>
      </c>
      <c r="Z24" s="318">
        <f>VLOOKUP(B24,'АПП+Стомат._план'!$B$4:$AQ$89,42,FALSE)/1000</f>
        <v>39718.072331688614</v>
      </c>
      <c r="AA24" s="401">
        <f t="shared" si="1"/>
        <v>23926.874802072751</v>
      </c>
      <c r="AB24" s="96"/>
      <c r="AC24" s="97"/>
      <c r="AD24" s="96"/>
      <c r="AE24" s="97"/>
      <c r="AF24" s="96">
        <v>34</v>
      </c>
      <c r="AG24" s="97">
        <v>31.439808274727902</v>
      </c>
    </row>
    <row r="25" spans="1:33" ht="15" customHeight="1" x14ac:dyDescent="0.25">
      <c r="A25" s="5">
        <v>18</v>
      </c>
      <c r="B25" s="5">
        <v>390890</v>
      </c>
      <c r="C25" s="238" t="s">
        <v>116</v>
      </c>
      <c r="D25" s="299">
        <v>161385</v>
      </c>
      <c r="E25" s="340">
        <v>295277.50581</v>
      </c>
      <c r="F25" s="98"/>
      <c r="G25" s="98"/>
      <c r="H25" s="436">
        <v>0</v>
      </c>
      <c r="I25" s="98"/>
      <c r="J25" s="98"/>
      <c r="K25" s="299">
        <v>284543</v>
      </c>
      <c r="L25" s="340">
        <v>352065.50837689923</v>
      </c>
      <c r="M25" s="96">
        <v>613</v>
      </c>
      <c r="N25" s="97">
        <v>4479.0854600000002</v>
      </c>
      <c r="O25" s="96">
        <v>0</v>
      </c>
      <c r="P25" s="97">
        <v>0</v>
      </c>
      <c r="Q25" s="96">
        <v>113506</v>
      </c>
      <c r="R25" s="97">
        <v>255431.01488</v>
      </c>
      <c r="S25" s="96">
        <v>0</v>
      </c>
      <c r="T25" s="97">
        <v>0</v>
      </c>
      <c r="U25" s="96">
        <v>500</v>
      </c>
      <c r="V25" s="97">
        <v>9953</v>
      </c>
      <c r="W25" s="299">
        <v>46368</v>
      </c>
      <c r="X25" s="340">
        <v>32254.971839999998</v>
      </c>
      <c r="Y25" s="411">
        <f t="shared" si="0"/>
        <v>679597.98602689919</v>
      </c>
      <c r="Z25" s="318">
        <f>VLOOKUP(B25,'АПП+Стомат._план'!$B$4:$AQ$89,42,FALSE)/1000</f>
        <v>751532.08769773529</v>
      </c>
      <c r="AA25" s="401">
        <f t="shared" si="1"/>
        <v>-71934.101670836098</v>
      </c>
      <c r="AB25" s="96">
        <v>50</v>
      </c>
      <c r="AC25" s="97">
        <v>1045.2750000000001</v>
      </c>
      <c r="AD25" s="96">
        <v>28</v>
      </c>
      <c r="AE25" s="97">
        <v>574.90125</v>
      </c>
      <c r="AF25" s="96">
        <v>0</v>
      </c>
      <c r="AG25" s="97"/>
    </row>
    <row r="26" spans="1:33" ht="15" customHeight="1" x14ac:dyDescent="0.25">
      <c r="A26" s="5">
        <v>19</v>
      </c>
      <c r="B26" s="5">
        <v>390200</v>
      </c>
      <c r="C26" s="238" t="s">
        <v>29</v>
      </c>
      <c r="D26" s="299">
        <v>34462</v>
      </c>
      <c r="E26" s="340">
        <v>36721.38409</v>
      </c>
      <c r="F26" s="98"/>
      <c r="G26" s="98"/>
      <c r="H26" s="436">
        <v>0</v>
      </c>
      <c r="I26" s="98"/>
      <c r="J26" s="98"/>
      <c r="K26" s="299">
        <v>57290</v>
      </c>
      <c r="L26" s="340">
        <v>70543.262833216315</v>
      </c>
      <c r="M26" s="96">
        <v>6386</v>
      </c>
      <c r="N26" s="97">
        <v>18585.808180000004</v>
      </c>
      <c r="O26" s="96">
        <v>1882</v>
      </c>
      <c r="P26" s="97">
        <v>2040.2762</v>
      </c>
      <c r="Q26" s="96">
        <v>6403</v>
      </c>
      <c r="R26" s="97">
        <v>13055.075769999999</v>
      </c>
      <c r="S26" s="96">
        <v>6529</v>
      </c>
      <c r="T26" s="97">
        <v>8283.0131399999991</v>
      </c>
      <c r="U26" s="96"/>
      <c r="V26" s="97"/>
      <c r="W26" s="299">
        <v>9780</v>
      </c>
      <c r="X26" s="340">
        <v>6803.2614000000003</v>
      </c>
      <c r="Y26" s="411">
        <f t="shared" si="0"/>
        <v>114067.90832321632</v>
      </c>
      <c r="Z26" s="318">
        <f>VLOOKUP(B26,'АПП+Стомат._план'!$B$4:$AQ$89,42,FALSE)/1000</f>
        <v>124247.74980863513</v>
      </c>
      <c r="AA26" s="401">
        <f t="shared" si="1"/>
        <v>-10179.841485418801</v>
      </c>
      <c r="AB26" s="96"/>
      <c r="AC26" s="97"/>
      <c r="AD26" s="96"/>
      <c r="AE26" s="97"/>
      <c r="AF26" s="96">
        <v>74</v>
      </c>
      <c r="AG26" s="97">
        <v>68.636201163138381</v>
      </c>
    </row>
    <row r="27" spans="1:33" ht="15" customHeight="1" x14ac:dyDescent="0.25">
      <c r="A27" s="5">
        <v>20</v>
      </c>
      <c r="B27" s="5">
        <v>390160</v>
      </c>
      <c r="C27" s="238" t="s">
        <v>30</v>
      </c>
      <c r="D27" s="299">
        <v>35898</v>
      </c>
      <c r="E27" s="340">
        <v>51000.972560000002</v>
      </c>
      <c r="F27" s="98"/>
      <c r="G27" s="98"/>
      <c r="H27" s="436">
        <v>0</v>
      </c>
      <c r="I27" s="98"/>
      <c r="J27" s="98"/>
      <c r="K27" s="299">
        <v>59743</v>
      </c>
      <c r="L27" s="340">
        <v>58459.794950650263</v>
      </c>
      <c r="M27" s="96">
        <v>6548</v>
      </c>
      <c r="N27" s="97">
        <v>19365.507160000001</v>
      </c>
      <c r="O27" s="96">
        <v>1901</v>
      </c>
      <c r="P27" s="97">
        <v>2060.8741</v>
      </c>
      <c r="Q27" s="96">
        <v>6990</v>
      </c>
      <c r="R27" s="97">
        <v>14405.46225</v>
      </c>
      <c r="S27" s="96">
        <v>6711</v>
      </c>
      <c r="T27" s="97">
        <v>8514.1728699999985</v>
      </c>
      <c r="U27" s="96"/>
      <c r="V27" s="97"/>
      <c r="W27" s="299">
        <v>10226</v>
      </c>
      <c r="X27" s="340">
        <v>7113.5123800000001</v>
      </c>
      <c r="Y27" s="411">
        <f t="shared" si="0"/>
        <v>116574.27989065027</v>
      </c>
      <c r="Z27" s="318">
        <f>VLOOKUP(B27,'АПП+Стомат._план'!$B$4:$AQ$89,42,FALSE)/1000</f>
        <v>108989.55795137254</v>
      </c>
      <c r="AA27" s="401">
        <f t="shared" si="1"/>
        <v>7584.7219392777333</v>
      </c>
      <c r="AB27" s="96"/>
      <c r="AC27" s="97"/>
      <c r="AD27" s="101"/>
      <c r="AE27" s="217"/>
      <c r="AF27" s="96">
        <v>417</v>
      </c>
      <c r="AG27" s="97">
        <v>384.8055407146274</v>
      </c>
    </row>
    <row r="28" spans="1:33" ht="15" customHeight="1" x14ac:dyDescent="0.25">
      <c r="A28" s="5">
        <v>21</v>
      </c>
      <c r="B28" s="201">
        <v>390210</v>
      </c>
      <c r="C28" s="238" t="s">
        <v>31</v>
      </c>
      <c r="D28" s="299">
        <v>35898</v>
      </c>
      <c r="E28" s="439">
        <f>30199.07196-368.82</f>
        <v>29830.251960000001</v>
      </c>
      <c r="F28" s="98"/>
      <c r="G28" s="98"/>
      <c r="H28" s="436">
        <v>0</v>
      </c>
      <c r="I28" s="98"/>
      <c r="J28" s="98"/>
      <c r="K28" s="299">
        <v>59780</v>
      </c>
      <c r="L28" s="340">
        <v>64024.018116959298</v>
      </c>
      <c r="M28" s="96">
        <v>6639</v>
      </c>
      <c r="N28" s="97">
        <v>19191.920999999998</v>
      </c>
      <c r="O28" s="96">
        <v>2032</v>
      </c>
      <c r="P28" s="97">
        <v>2202.8912</v>
      </c>
      <c r="Q28" s="96">
        <v>6675</v>
      </c>
      <c r="R28" s="97">
        <v>13621.222200000002</v>
      </c>
      <c r="S28" s="96">
        <v>6841</v>
      </c>
      <c r="T28" s="97">
        <v>8678.8057499999995</v>
      </c>
      <c r="U28" s="96"/>
      <c r="V28" s="97"/>
      <c r="W28" s="299">
        <v>10235</v>
      </c>
      <c r="X28" s="340">
        <v>7119.7730499999998</v>
      </c>
      <c r="Y28" s="411">
        <f>E28+L28+X28</f>
        <v>100974.04312695931</v>
      </c>
      <c r="Z28" s="318">
        <f>VLOOKUP(B28,'АПП+Стомат._план'!$B$4:$AQ$89,42,FALSE)/1000</f>
        <v>120153.3295311268</v>
      </c>
      <c r="AA28" s="401">
        <f t="shared" si="1"/>
        <v>-19179.286404167491</v>
      </c>
      <c r="AB28" s="96"/>
      <c r="AC28" s="97"/>
      <c r="AD28" s="96"/>
      <c r="AE28" s="97"/>
      <c r="AF28" s="96">
        <v>287</v>
      </c>
      <c r="AG28" s="97">
        <v>264.80289222939837</v>
      </c>
    </row>
    <row r="29" spans="1:33" ht="15" customHeight="1" x14ac:dyDescent="0.25">
      <c r="A29" s="5">
        <v>22</v>
      </c>
      <c r="B29" s="5">
        <v>390220</v>
      </c>
      <c r="C29" s="238" t="s">
        <v>181</v>
      </c>
      <c r="D29" s="299">
        <v>99079</v>
      </c>
      <c r="E29" s="340">
        <v>108643.55968999999</v>
      </c>
      <c r="F29" s="98"/>
      <c r="G29" s="98"/>
      <c r="H29" s="436">
        <v>0</v>
      </c>
      <c r="I29" s="98"/>
      <c r="J29" s="98"/>
      <c r="K29" s="299">
        <v>164771</v>
      </c>
      <c r="L29" s="340">
        <v>169509.0116486414</v>
      </c>
      <c r="M29" s="96">
        <v>17292</v>
      </c>
      <c r="N29" s="97">
        <v>50255.236069999999</v>
      </c>
      <c r="O29" s="96">
        <v>4780</v>
      </c>
      <c r="P29" s="97">
        <v>5181.9979999999996</v>
      </c>
      <c r="Q29" s="96">
        <v>21165</v>
      </c>
      <c r="R29" s="97">
        <v>43995.654860000002</v>
      </c>
      <c r="S29" s="96">
        <v>17776</v>
      </c>
      <c r="T29" s="97">
        <v>22550.494839999999</v>
      </c>
      <c r="U29" s="96"/>
      <c r="V29" s="97"/>
      <c r="W29" s="299">
        <v>28158</v>
      </c>
      <c r="X29" s="340">
        <v>19587.54954</v>
      </c>
      <c r="Y29" s="411">
        <f t="shared" si="0"/>
        <v>297740.12087864138</v>
      </c>
      <c r="Z29" s="318">
        <f>VLOOKUP(B29,'АПП+Стомат._план'!$B$4:$AQ$89,42,FALSE)/1000</f>
        <v>305230.25016015134</v>
      </c>
      <c r="AA29" s="401">
        <f t="shared" si="1"/>
        <v>-7490.1292815099587</v>
      </c>
      <c r="AB29" s="96"/>
      <c r="AC29" s="97"/>
      <c r="AD29" s="96"/>
      <c r="AE29" s="97"/>
      <c r="AF29" s="96">
        <v>974</v>
      </c>
      <c r="AG29" s="97">
        <v>898.02719973448143</v>
      </c>
    </row>
    <row r="30" spans="1:33" ht="15" customHeight="1" x14ac:dyDescent="0.25">
      <c r="A30" s="5">
        <v>23</v>
      </c>
      <c r="B30" s="5">
        <v>390230</v>
      </c>
      <c r="C30" s="238" t="s">
        <v>33</v>
      </c>
      <c r="D30" s="299">
        <v>41642</v>
      </c>
      <c r="E30" s="340">
        <v>53663.23287</v>
      </c>
      <c r="F30" s="98"/>
      <c r="G30" s="98"/>
      <c r="H30" s="436">
        <v>0</v>
      </c>
      <c r="I30" s="98"/>
      <c r="J30" s="98"/>
      <c r="K30" s="299">
        <v>69038</v>
      </c>
      <c r="L30" s="340">
        <v>72075.39848595261</v>
      </c>
      <c r="M30" s="96">
        <v>7691</v>
      </c>
      <c r="N30" s="97">
        <v>22972.376829999997</v>
      </c>
      <c r="O30" s="96">
        <v>2351</v>
      </c>
      <c r="P30" s="97">
        <v>2548.7191000000003</v>
      </c>
      <c r="Q30" s="96">
        <v>7601</v>
      </c>
      <c r="R30" s="97">
        <v>15533.56898</v>
      </c>
      <c r="S30" s="96">
        <v>7787</v>
      </c>
      <c r="T30" s="97">
        <v>9877.9731699999993</v>
      </c>
      <c r="U30" s="96"/>
      <c r="V30" s="97"/>
      <c r="W30" s="299">
        <v>11654</v>
      </c>
      <c r="X30" s="340">
        <v>8106.8720199999998</v>
      </c>
      <c r="Y30" s="411">
        <f t="shared" si="0"/>
        <v>133845.50337595263</v>
      </c>
      <c r="Z30" s="318">
        <f>VLOOKUP(B30,'АПП+Стомат._план'!$B$4:$AQ$89,42,FALSE)/1000</f>
        <v>127502.85493948942</v>
      </c>
      <c r="AA30" s="401">
        <f t="shared" si="1"/>
        <v>6342.6484364632051</v>
      </c>
      <c r="AB30" s="96"/>
      <c r="AC30" s="97"/>
      <c r="AD30" s="96"/>
      <c r="AE30" s="97"/>
      <c r="AF30" s="96">
        <v>123</v>
      </c>
      <c r="AG30" s="97">
        <v>113.36043546944146</v>
      </c>
    </row>
    <row r="31" spans="1:33" ht="15" customHeight="1" x14ac:dyDescent="0.25">
      <c r="A31" s="5">
        <v>24</v>
      </c>
      <c r="B31" s="5">
        <v>390240</v>
      </c>
      <c r="C31" s="238" t="s">
        <v>34</v>
      </c>
      <c r="D31" s="299">
        <v>45950</v>
      </c>
      <c r="E31" s="340">
        <v>55425.696020000003</v>
      </c>
      <c r="F31" s="98"/>
      <c r="G31" s="98"/>
      <c r="H31" s="436">
        <v>0</v>
      </c>
      <c r="I31" s="98"/>
      <c r="J31" s="98"/>
      <c r="K31" s="299">
        <v>76185</v>
      </c>
      <c r="L31" s="340">
        <v>87491.733663878666</v>
      </c>
      <c r="M31" s="96">
        <v>8477</v>
      </c>
      <c r="N31" s="97">
        <v>25028.92468</v>
      </c>
      <c r="O31" s="96">
        <v>2549</v>
      </c>
      <c r="P31" s="97">
        <v>2763.3708999999999</v>
      </c>
      <c r="Q31" s="96">
        <v>8409</v>
      </c>
      <c r="R31" s="97">
        <v>17162.23504</v>
      </c>
      <c r="S31" s="96">
        <v>8630</v>
      </c>
      <c r="T31" s="97">
        <v>10948.297460000002</v>
      </c>
      <c r="U31" s="96"/>
      <c r="V31" s="97"/>
      <c r="W31" s="299">
        <v>12909</v>
      </c>
      <c r="X31" s="340">
        <v>8979.8876700000001</v>
      </c>
      <c r="Y31" s="411">
        <f t="shared" si="0"/>
        <v>151897.31735387867</v>
      </c>
      <c r="Z31" s="318">
        <f>VLOOKUP(B31,'АПП+Стомат._план'!$B$4:$AQ$89,42,FALSE)/1000</f>
        <v>162793.17927709289</v>
      </c>
      <c r="AA31" s="401">
        <f t="shared" si="1"/>
        <v>-10895.861923214223</v>
      </c>
      <c r="AB31" s="96"/>
      <c r="AC31" s="97"/>
      <c r="AD31" s="101"/>
      <c r="AE31" s="217"/>
      <c r="AF31" s="96">
        <v>174</v>
      </c>
      <c r="AG31" s="97">
        <v>160.29874078100704</v>
      </c>
    </row>
    <row r="32" spans="1:33" ht="15" customHeight="1" x14ac:dyDescent="0.25">
      <c r="A32" s="5">
        <v>25</v>
      </c>
      <c r="B32" s="5">
        <v>390290</v>
      </c>
      <c r="C32" s="238" t="s">
        <v>35</v>
      </c>
      <c r="D32" s="299">
        <v>12923</v>
      </c>
      <c r="E32" s="340">
        <v>17329.403470000001</v>
      </c>
      <c r="F32" s="98"/>
      <c r="G32" s="98"/>
      <c r="H32" s="436">
        <v>0</v>
      </c>
      <c r="I32" s="98"/>
      <c r="J32" s="98"/>
      <c r="K32" s="299">
        <v>21846</v>
      </c>
      <c r="L32" s="340">
        <v>30192.534866814269</v>
      </c>
      <c r="M32" s="96">
        <v>2507</v>
      </c>
      <c r="N32" s="97">
        <v>7445.2121000000006</v>
      </c>
      <c r="O32" s="96">
        <v>783</v>
      </c>
      <c r="P32" s="97">
        <v>848.85030000000006</v>
      </c>
      <c r="Q32" s="96">
        <v>2493</v>
      </c>
      <c r="R32" s="97">
        <v>5086.6864700000006</v>
      </c>
      <c r="S32" s="96">
        <v>2529</v>
      </c>
      <c r="T32" s="97">
        <v>3208.8675800000001</v>
      </c>
      <c r="U32" s="96"/>
      <c r="V32" s="97"/>
      <c r="W32" s="299">
        <v>3794</v>
      </c>
      <c r="X32" s="340">
        <v>2639.2202200000002</v>
      </c>
      <c r="Y32" s="411">
        <f t="shared" si="0"/>
        <v>50161.158556814276</v>
      </c>
      <c r="Z32" s="318">
        <f>VLOOKUP(B32,'АПП+Стомат._план'!$B$4:$AQ$89,42,FALSE)/1000</f>
        <v>47643.125521141519</v>
      </c>
      <c r="AA32" s="401">
        <f t="shared" si="1"/>
        <v>2518.0330356727573</v>
      </c>
      <c r="AB32" s="96"/>
      <c r="AC32" s="97"/>
      <c r="AD32" s="96"/>
      <c r="AE32" s="97"/>
      <c r="AF32" s="96">
        <v>82</v>
      </c>
      <c r="AG32" s="97">
        <v>75.278414178925971</v>
      </c>
    </row>
    <row r="33" spans="1:33" ht="15" customHeight="1" x14ac:dyDescent="0.25">
      <c r="A33" s="5">
        <v>26</v>
      </c>
      <c r="B33" s="5">
        <v>390380</v>
      </c>
      <c r="C33" s="238" t="s">
        <v>36</v>
      </c>
      <c r="D33" s="299">
        <v>8616</v>
      </c>
      <c r="E33" s="340">
        <v>8879.8199399999994</v>
      </c>
      <c r="F33" s="98"/>
      <c r="G33" s="98"/>
      <c r="H33" s="436">
        <v>0</v>
      </c>
      <c r="I33" s="98"/>
      <c r="J33" s="98"/>
      <c r="K33" s="299">
        <v>14216</v>
      </c>
      <c r="L33" s="340">
        <v>12679.878323916868</v>
      </c>
      <c r="M33" s="96">
        <v>1586</v>
      </c>
      <c r="N33" s="97">
        <v>4570.5926200000004</v>
      </c>
      <c r="O33" s="96">
        <v>508</v>
      </c>
      <c r="P33" s="97">
        <v>550.72280000000001</v>
      </c>
      <c r="Q33" s="96">
        <v>1463</v>
      </c>
      <c r="R33" s="97">
        <v>2959.2855800000002</v>
      </c>
      <c r="S33" s="96">
        <v>1638</v>
      </c>
      <c r="T33" s="97">
        <v>2078.3322899999998</v>
      </c>
      <c r="U33" s="96"/>
      <c r="V33" s="97"/>
      <c r="W33" s="299">
        <v>2396</v>
      </c>
      <c r="X33" s="340">
        <v>1666.72948</v>
      </c>
      <c r="Y33" s="411">
        <f t="shared" si="0"/>
        <v>23226.427743916865</v>
      </c>
      <c r="Z33" s="318">
        <f>VLOOKUP(B33,'АПП+Стомат._план'!$B$4:$AQ$89,42,FALSE)/1000</f>
        <v>22913.09328476946</v>
      </c>
      <c r="AA33" s="401">
        <f t="shared" si="1"/>
        <v>313.33445914740514</v>
      </c>
      <c r="AB33" s="96"/>
      <c r="AC33" s="97"/>
      <c r="AD33" s="96"/>
      <c r="AE33" s="97"/>
      <c r="AF33" s="96">
        <v>358</v>
      </c>
      <c r="AG33" s="97">
        <v>330.33939398516924</v>
      </c>
    </row>
    <row r="34" spans="1:33" ht="15" customHeight="1" x14ac:dyDescent="0.25">
      <c r="A34" s="5">
        <v>27</v>
      </c>
      <c r="B34" s="5">
        <v>390370</v>
      </c>
      <c r="C34" s="238" t="s">
        <v>37</v>
      </c>
      <c r="D34" s="299">
        <v>14359</v>
      </c>
      <c r="E34" s="340">
        <v>16206.972750000001</v>
      </c>
      <c r="F34" s="98"/>
      <c r="G34" s="98"/>
      <c r="H34" s="436">
        <v>0</v>
      </c>
      <c r="I34" s="98"/>
      <c r="J34" s="98"/>
      <c r="K34" s="299">
        <v>23825</v>
      </c>
      <c r="L34" s="340">
        <v>21884.732296891758</v>
      </c>
      <c r="M34" s="96">
        <v>2639</v>
      </c>
      <c r="N34" s="97">
        <v>7649.3098500000015</v>
      </c>
      <c r="O34" s="96">
        <v>791</v>
      </c>
      <c r="P34" s="97">
        <v>857.5231</v>
      </c>
      <c r="Q34" s="96">
        <v>2637</v>
      </c>
      <c r="R34" s="97">
        <v>5381.0858199999993</v>
      </c>
      <c r="S34" s="96">
        <v>2721</v>
      </c>
      <c r="T34" s="97">
        <v>3451.3958299999999</v>
      </c>
      <c r="U34" s="96"/>
      <c r="V34" s="97"/>
      <c r="W34" s="299">
        <v>4064</v>
      </c>
      <c r="X34" s="340">
        <v>2827.0403199999996</v>
      </c>
      <c r="Y34" s="411">
        <f t="shared" si="0"/>
        <v>40918.745366891759</v>
      </c>
      <c r="Z34" s="318">
        <f>VLOOKUP(B34,'АПП+Стомат._план'!$B$4:$AQ$89,42,FALSE)/1000</f>
        <v>43107.893266830732</v>
      </c>
      <c r="AA34" s="401">
        <f t="shared" si="1"/>
        <v>-2189.1478999389728</v>
      </c>
      <c r="AB34" s="96"/>
      <c r="AC34" s="97"/>
      <c r="AD34" s="96"/>
      <c r="AE34" s="97"/>
      <c r="AF34" s="96">
        <v>48</v>
      </c>
      <c r="AG34" s="97">
        <v>44.281420105250568</v>
      </c>
    </row>
    <row r="35" spans="1:33" ht="15" customHeight="1" x14ac:dyDescent="0.25">
      <c r="A35" s="5">
        <v>28</v>
      </c>
      <c r="B35" s="5">
        <v>390480</v>
      </c>
      <c r="C35" s="238" t="s">
        <v>96</v>
      </c>
      <c r="D35" s="299">
        <v>50258</v>
      </c>
      <c r="E35" s="340">
        <v>64812.662969999998</v>
      </c>
      <c r="F35" s="98"/>
      <c r="G35" s="98"/>
      <c r="H35" s="436">
        <v>0</v>
      </c>
      <c r="I35" s="98"/>
      <c r="J35" s="98"/>
      <c r="K35" s="299">
        <v>83976</v>
      </c>
      <c r="L35" s="340">
        <v>79375.657715373454</v>
      </c>
      <c r="M35" s="96">
        <v>9581</v>
      </c>
      <c r="N35" s="97">
        <v>28222.862269999998</v>
      </c>
      <c r="O35" s="96">
        <v>2944</v>
      </c>
      <c r="P35" s="97">
        <v>3191.5904</v>
      </c>
      <c r="Q35" s="96">
        <v>9011</v>
      </c>
      <c r="R35" s="97">
        <v>18312.554949999998</v>
      </c>
      <c r="S35" s="96">
        <v>9809</v>
      </c>
      <c r="T35" s="97">
        <v>12443.888279999999</v>
      </c>
      <c r="U35" s="96"/>
      <c r="V35" s="97"/>
      <c r="W35" s="299">
        <v>14452</v>
      </c>
      <c r="X35" s="340">
        <v>10053.24476</v>
      </c>
      <c r="Y35" s="411">
        <f t="shared" si="0"/>
        <v>154241.56544537345</v>
      </c>
      <c r="Z35" s="318">
        <f>VLOOKUP(B35,'АПП+Стомат._план'!$B$4:$AQ$89,42,FALSE)/1000</f>
        <v>147902.83547465364</v>
      </c>
      <c r="AA35" s="401">
        <f t="shared" si="1"/>
        <v>6338.7299707198108</v>
      </c>
      <c r="AB35" s="96"/>
      <c r="AC35" s="97"/>
      <c r="AD35" s="101"/>
      <c r="AE35" s="217"/>
      <c r="AF35" s="96">
        <v>332</v>
      </c>
      <c r="AG35" s="97">
        <v>306.42742712833387</v>
      </c>
    </row>
    <row r="36" spans="1:33" ht="15" customHeight="1" x14ac:dyDescent="0.25">
      <c r="A36" s="5">
        <v>29</v>
      </c>
      <c r="B36" s="5">
        <v>390260</v>
      </c>
      <c r="C36" s="238" t="s">
        <v>38</v>
      </c>
      <c r="D36" s="299">
        <v>22975</v>
      </c>
      <c r="E36" s="340">
        <v>28688.309880000001</v>
      </c>
      <c r="F36" s="98"/>
      <c r="G36" s="98"/>
      <c r="H36" s="436">
        <v>0</v>
      </c>
      <c r="I36" s="98"/>
      <c r="J36" s="98"/>
      <c r="K36" s="299">
        <v>38139</v>
      </c>
      <c r="L36" s="340">
        <v>44883.004698162207</v>
      </c>
      <c r="M36" s="96">
        <v>4194</v>
      </c>
      <c r="N36" s="97">
        <v>12256.51251</v>
      </c>
      <c r="O36" s="96">
        <v>1324</v>
      </c>
      <c r="P36" s="97">
        <v>1435.3483999999999</v>
      </c>
      <c r="Q36" s="96">
        <v>4271</v>
      </c>
      <c r="R36" s="97">
        <v>8729.0280299999995</v>
      </c>
      <c r="S36" s="96">
        <v>4290</v>
      </c>
      <c r="T36" s="97">
        <v>5442.1484700000001</v>
      </c>
      <c r="U36" s="96"/>
      <c r="V36" s="97"/>
      <c r="W36" s="299">
        <v>6453</v>
      </c>
      <c r="X36" s="340">
        <v>4488.9003899999998</v>
      </c>
      <c r="Y36" s="411">
        <f t="shared" si="0"/>
        <v>78060.21496816221</v>
      </c>
      <c r="Z36" s="318">
        <f>VLOOKUP(B36,'АПП+Стомат._план'!$B$4:$AQ$89,42,FALSE)/1000</f>
        <v>79842.27612408431</v>
      </c>
      <c r="AA36" s="401">
        <f t="shared" si="1"/>
        <v>-1782.0611559220997</v>
      </c>
      <c r="AB36" s="96"/>
      <c r="AC36" s="97"/>
      <c r="AD36" s="96"/>
      <c r="AE36" s="97"/>
      <c r="AF36" s="96">
        <v>128</v>
      </c>
      <c r="AG36" s="97">
        <v>117.78857747996651</v>
      </c>
    </row>
    <row r="37" spans="1:33" ht="15" customHeight="1" x14ac:dyDescent="0.25">
      <c r="A37" s="5">
        <v>30</v>
      </c>
      <c r="B37" s="5">
        <v>390250</v>
      </c>
      <c r="C37" s="238" t="s">
        <v>39</v>
      </c>
      <c r="D37" s="299">
        <v>17231</v>
      </c>
      <c r="E37" s="340">
        <v>20876.216700000001</v>
      </c>
      <c r="F37" s="98"/>
      <c r="G37" s="98"/>
      <c r="H37" s="436">
        <v>0</v>
      </c>
      <c r="I37" s="98"/>
      <c r="J37" s="98"/>
      <c r="K37" s="299">
        <v>28528</v>
      </c>
      <c r="L37" s="340">
        <v>39296.155350727917</v>
      </c>
      <c r="M37" s="96">
        <v>3161</v>
      </c>
      <c r="N37" s="97">
        <v>9439.1852400000007</v>
      </c>
      <c r="O37" s="96">
        <v>976</v>
      </c>
      <c r="P37" s="97">
        <v>1058.0816</v>
      </c>
      <c r="Q37" s="96">
        <v>3164</v>
      </c>
      <c r="R37" s="97">
        <v>6456.6377899999998</v>
      </c>
      <c r="S37" s="96">
        <v>3182</v>
      </c>
      <c r="T37" s="97">
        <v>4036.2425699999999</v>
      </c>
      <c r="U37" s="96"/>
      <c r="V37" s="97"/>
      <c r="W37" s="299">
        <v>4784</v>
      </c>
      <c r="X37" s="340">
        <v>3327.89392</v>
      </c>
      <c r="Y37" s="411">
        <f t="shared" si="0"/>
        <v>63500.265970727924</v>
      </c>
      <c r="Z37" s="318">
        <f>VLOOKUP(B37,'АПП+Стомат._план'!$B$4:$AQ$89,42,FALSE)/1000</f>
        <v>64165.835432899134</v>
      </c>
      <c r="AA37" s="401">
        <f t="shared" si="1"/>
        <v>-665.56946217121003</v>
      </c>
      <c r="AB37" s="96"/>
      <c r="AC37" s="97"/>
      <c r="AD37" s="96"/>
      <c r="AE37" s="97"/>
      <c r="AF37" s="96">
        <v>216</v>
      </c>
      <c r="AG37" s="97">
        <v>198.82357627257505</v>
      </c>
    </row>
    <row r="38" spans="1:33" ht="15" customHeight="1" x14ac:dyDescent="0.25">
      <c r="A38" s="5">
        <v>31</v>
      </c>
      <c r="B38" s="5">
        <v>390300</v>
      </c>
      <c r="C38" s="238" t="s">
        <v>40</v>
      </c>
      <c r="D38" s="299">
        <v>15795</v>
      </c>
      <c r="E38" s="340">
        <v>20461.640465878918</v>
      </c>
      <c r="F38" s="98"/>
      <c r="G38" s="98"/>
      <c r="H38" s="436">
        <v>0</v>
      </c>
      <c r="I38" s="98"/>
      <c r="J38" s="98"/>
      <c r="K38" s="299">
        <v>26274</v>
      </c>
      <c r="L38" s="340">
        <v>38413.760376121085</v>
      </c>
      <c r="M38" s="96">
        <v>2902</v>
      </c>
      <c r="N38" s="97">
        <v>8688.8139499999997</v>
      </c>
      <c r="O38" s="96">
        <v>886</v>
      </c>
      <c r="P38" s="97">
        <v>960.51260000000002</v>
      </c>
      <c r="Q38" s="96">
        <v>3029</v>
      </c>
      <c r="R38" s="97">
        <v>6215.9590900000003</v>
      </c>
      <c r="S38" s="96">
        <v>2916</v>
      </c>
      <c r="T38" s="97">
        <v>3699.8188500000001</v>
      </c>
      <c r="U38" s="96"/>
      <c r="V38" s="97"/>
      <c r="W38" s="299">
        <v>4438</v>
      </c>
      <c r="X38" s="340">
        <v>3087.2059399999998</v>
      </c>
      <c r="Y38" s="411">
        <f t="shared" si="0"/>
        <v>61962.606782000003</v>
      </c>
      <c r="Z38" s="318">
        <f>VLOOKUP(B38,'АПП+Стомат._план'!$B$4:$AQ$89,42,FALSE)/1000</f>
        <v>60163.178265480412</v>
      </c>
      <c r="AA38" s="401">
        <f t="shared" si="1"/>
        <v>1799.4285165195906</v>
      </c>
      <c r="AB38" s="96"/>
      <c r="AC38" s="97"/>
      <c r="AD38" s="96"/>
      <c r="AE38" s="97"/>
      <c r="AF38" s="96">
        <v>190</v>
      </c>
      <c r="AG38" s="97">
        <v>175.35442361679225</v>
      </c>
    </row>
    <row r="39" spans="1:33" ht="15" customHeight="1" x14ac:dyDescent="0.25">
      <c r="A39" s="5">
        <v>32</v>
      </c>
      <c r="B39" s="5">
        <v>390310</v>
      </c>
      <c r="C39" s="238" t="s">
        <v>117</v>
      </c>
      <c r="D39" s="299">
        <v>22975</v>
      </c>
      <c r="E39" s="439">
        <f>26251.8412973902+368.82</f>
        <v>26620.661297390201</v>
      </c>
      <c r="F39" s="98"/>
      <c r="G39" s="98"/>
      <c r="H39" s="436">
        <v>0</v>
      </c>
      <c r="I39" s="98"/>
      <c r="J39" s="98"/>
      <c r="K39" s="299">
        <v>38018</v>
      </c>
      <c r="L39" s="340">
        <f>44505.6312806098</f>
        <v>44505.631280609799</v>
      </c>
      <c r="M39" s="96">
        <v>4225</v>
      </c>
      <c r="N39" s="97">
        <v>12217.05085</v>
      </c>
      <c r="O39" s="96">
        <v>1285</v>
      </c>
      <c r="P39" s="97">
        <v>1393.0685000000001</v>
      </c>
      <c r="Q39" s="96">
        <v>4106</v>
      </c>
      <c r="R39" s="97">
        <v>8337.5533699999996</v>
      </c>
      <c r="S39" s="96">
        <v>4342</v>
      </c>
      <c r="T39" s="97">
        <v>5508.2542599999997</v>
      </c>
      <c r="U39" s="96"/>
      <c r="V39" s="97"/>
      <c r="W39" s="299">
        <v>6442</v>
      </c>
      <c r="X39" s="340">
        <v>4481.2484599999998</v>
      </c>
      <c r="Y39" s="411">
        <f>E39+L39+X39</f>
        <v>75607.541037999996</v>
      </c>
      <c r="Z39" s="318">
        <f>VLOOKUP(B39,'АПП+Стомат._план'!$B$4:$AQ$89,42,FALSE)/1000</f>
        <v>79222.242493098354</v>
      </c>
      <c r="AA39" s="401">
        <f t="shared" si="1"/>
        <v>-3614.7014550983586</v>
      </c>
      <c r="AB39" s="96"/>
      <c r="AC39" s="97"/>
      <c r="AD39" s="101"/>
      <c r="AE39" s="217"/>
      <c r="AF39" s="96">
        <v>115</v>
      </c>
      <c r="AG39" s="97">
        <v>105.83259405154885</v>
      </c>
    </row>
    <row r="40" spans="1:33" ht="15" customHeight="1" x14ac:dyDescent="0.25">
      <c r="A40" s="5">
        <v>33</v>
      </c>
      <c r="B40" s="5">
        <v>390320</v>
      </c>
      <c r="C40" s="238" t="s">
        <v>102</v>
      </c>
      <c r="D40" s="299">
        <v>22975</v>
      </c>
      <c r="E40" s="340">
        <v>27774.619054098544</v>
      </c>
      <c r="F40" s="98"/>
      <c r="G40" s="98"/>
      <c r="H40" s="436">
        <v>0</v>
      </c>
      <c r="I40" s="98"/>
      <c r="J40" s="98"/>
      <c r="K40" s="299">
        <v>38156</v>
      </c>
      <c r="L40" s="340">
        <v>48745.316859901461</v>
      </c>
      <c r="M40" s="96">
        <v>4271</v>
      </c>
      <c r="N40" s="97">
        <v>12896.205619999999</v>
      </c>
      <c r="O40" s="96">
        <v>1232</v>
      </c>
      <c r="P40" s="97">
        <v>1335.6112000000001</v>
      </c>
      <c r="Q40" s="96">
        <v>4331</v>
      </c>
      <c r="R40" s="97">
        <v>8857.8221300000005</v>
      </c>
      <c r="S40" s="96">
        <v>4262</v>
      </c>
      <c r="T40" s="97">
        <v>5406.7797699999992</v>
      </c>
      <c r="U40" s="96"/>
      <c r="V40" s="97"/>
      <c r="W40" s="299">
        <v>6446</v>
      </c>
      <c r="X40" s="340">
        <v>4484.0309800000005</v>
      </c>
      <c r="Y40" s="411">
        <f t="shared" si="0"/>
        <v>81003.966893999997</v>
      </c>
      <c r="Z40" s="318">
        <f>VLOOKUP(B40,'АПП+Стомат._план'!$B$4:$AQ$89,42,FALSE)/1000</f>
        <v>79651.265948336179</v>
      </c>
      <c r="AA40" s="401">
        <f t="shared" si="1"/>
        <v>1352.7009456638189</v>
      </c>
      <c r="AB40" s="96"/>
      <c r="AC40" s="97"/>
      <c r="AD40" s="96"/>
      <c r="AE40" s="97"/>
      <c r="AF40" s="96">
        <v>163</v>
      </c>
      <c r="AG40" s="97">
        <v>150.55682835785194</v>
      </c>
    </row>
    <row r="41" spans="1:33" ht="15" customHeight="1" x14ac:dyDescent="0.25">
      <c r="A41" s="5">
        <v>34</v>
      </c>
      <c r="B41" s="5">
        <v>390180</v>
      </c>
      <c r="C41" s="238" t="s">
        <v>43</v>
      </c>
      <c r="D41" s="299">
        <v>38770</v>
      </c>
      <c r="E41" s="340">
        <v>42403.400445956591</v>
      </c>
      <c r="F41" s="98"/>
      <c r="G41" s="98"/>
      <c r="H41" s="436">
        <v>0</v>
      </c>
      <c r="I41" s="98"/>
      <c r="J41" s="98"/>
      <c r="K41" s="299">
        <v>64388</v>
      </c>
      <c r="L41" s="340">
        <v>60415.974340043409</v>
      </c>
      <c r="M41" s="96">
        <v>7351</v>
      </c>
      <c r="N41" s="97">
        <v>21321.446219999998</v>
      </c>
      <c r="O41" s="96">
        <v>2249</v>
      </c>
      <c r="P41" s="97">
        <v>2438.1408999999999</v>
      </c>
      <c r="Q41" s="96">
        <v>6616</v>
      </c>
      <c r="R41" s="97">
        <v>13343.904470000001</v>
      </c>
      <c r="S41" s="96">
        <v>7571</v>
      </c>
      <c r="T41" s="97">
        <v>9604.7078399999991</v>
      </c>
      <c r="U41" s="96"/>
      <c r="V41" s="97"/>
      <c r="W41" s="299">
        <v>11013</v>
      </c>
      <c r="X41" s="340">
        <v>7660.9731900000006</v>
      </c>
      <c r="Y41" s="411">
        <f t="shared" si="0"/>
        <v>110480.347976</v>
      </c>
      <c r="Z41" s="318">
        <f>VLOOKUP(B41,'АПП+Стомат._план'!$B$4:$AQ$89,42,FALSE)/1000</f>
        <v>114614.9441205277</v>
      </c>
      <c r="AA41" s="401">
        <f t="shared" si="1"/>
        <v>-4134.5961445276916</v>
      </c>
      <c r="AB41" s="96"/>
      <c r="AC41" s="97"/>
      <c r="AD41" s="96"/>
      <c r="AE41" s="97"/>
      <c r="AF41" s="96">
        <v>271</v>
      </c>
      <c r="AG41" s="97">
        <v>250.19002359466569</v>
      </c>
    </row>
    <row r="42" spans="1:33" ht="15" customHeight="1" x14ac:dyDescent="0.25">
      <c r="A42" s="5">
        <v>35</v>
      </c>
      <c r="B42" s="5">
        <v>390270</v>
      </c>
      <c r="C42" s="238" t="s">
        <v>100</v>
      </c>
      <c r="D42" s="299">
        <v>21539</v>
      </c>
      <c r="E42" s="340">
        <v>27702.22651562684</v>
      </c>
      <c r="F42" s="98"/>
      <c r="G42" s="98"/>
      <c r="H42" s="436">
        <v>0</v>
      </c>
      <c r="I42" s="98"/>
      <c r="J42" s="98"/>
      <c r="K42" s="299">
        <v>36088</v>
      </c>
      <c r="L42" s="340">
        <v>48570.618881373157</v>
      </c>
      <c r="M42" s="96">
        <v>4112</v>
      </c>
      <c r="N42" s="97">
        <v>11953.914439999999</v>
      </c>
      <c r="O42" s="96">
        <v>1234</v>
      </c>
      <c r="P42" s="97">
        <v>1337.7793999999999</v>
      </c>
      <c r="Q42" s="96">
        <v>3986</v>
      </c>
      <c r="R42" s="97">
        <v>8096.4014400000005</v>
      </c>
      <c r="S42" s="96">
        <v>4200</v>
      </c>
      <c r="T42" s="97">
        <v>5328.0423099999998</v>
      </c>
      <c r="U42" s="96"/>
      <c r="V42" s="97"/>
      <c r="W42" s="299">
        <v>6237</v>
      </c>
      <c r="X42" s="340">
        <v>4338.6443099999997</v>
      </c>
      <c r="Y42" s="411">
        <f t="shared" si="0"/>
        <v>80611.489707000001</v>
      </c>
      <c r="Z42" s="318">
        <f>VLOOKUP(B42,'АПП+Стомат._план'!$B$4:$AQ$89,42,FALSE)/1000</f>
        <v>82778.703900749329</v>
      </c>
      <c r="AA42" s="401">
        <f t="shared" si="1"/>
        <v>-2167.2141937493288</v>
      </c>
      <c r="AB42" s="96"/>
      <c r="AC42" s="97"/>
      <c r="AD42" s="96"/>
      <c r="AE42" s="97"/>
      <c r="AF42" s="96">
        <v>63</v>
      </c>
      <c r="AG42" s="97">
        <v>58.00866033787824</v>
      </c>
    </row>
    <row r="43" spans="1:33" ht="15" customHeight="1" x14ac:dyDescent="0.25">
      <c r="A43" s="5">
        <v>36</v>
      </c>
      <c r="B43" s="5">
        <v>390190</v>
      </c>
      <c r="C43" s="238" t="s">
        <v>45</v>
      </c>
      <c r="D43" s="299">
        <v>47386</v>
      </c>
      <c r="E43" s="340">
        <v>63766.744107017832</v>
      </c>
      <c r="F43" s="98"/>
      <c r="G43" s="98"/>
      <c r="H43" s="436">
        <v>0</v>
      </c>
      <c r="I43" s="98"/>
      <c r="J43" s="98"/>
      <c r="K43" s="299">
        <v>79213</v>
      </c>
      <c r="L43" s="340">
        <v>74613.821932982159</v>
      </c>
      <c r="M43" s="96">
        <v>9039</v>
      </c>
      <c r="N43" s="97">
        <v>26865.50259</v>
      </c>
      <c r="O43" s="96">
        <v>2905</v>
      </c>
      <c r="P43" s="97">
        <v>3149.3105</v>
      </c>
      <c r="Q43" s="96">
        <v>8447</v>
      </c>
      <c r="R43" s="97">
        <v>17172.691220000001</v>
      </c>
      <c r="S43" s="96">
        <v>9199</v>
      </c>
      <c r="T43" s="97">
        <v>11670.408449999999</v>
      </c>
      <c r="U43" s="96"/>
      <c r="V43" s="97"/>
      <c r="W43" s="299">
        <v>13552</v>
      </c>
      <c r="X43" s="340">
        <v>9427.1777600000005</v>
      </c>
      <c r="Y43" s="411">
        <f t="shared" si="0"/>
        <v>147807.7438</v>
      </c>
      <c r="Z43" s="318">
        <f>VLOOKUP(B43,'АПП+Стомат._план'!$B$4:$AQ$89,42,FALSE)/1000</f>
        <v>139680.08814381005</v>
      </c>
      <c r="AA43" s="401">
        <f t="shared" si="1"/>
        <v>8127.6556561899488</v>
      </c>
      <c r="AB43" s="96"/>
      <c r="AC43" s="97"/>
      <c r="AD43" s="101"/>
      <c r="AE43" s="217"/>
      <c r="AF43" s="96">
        <v>86</v>
      </c>
      <c r="AG43" s="97">
        <v>78.820927787346008</v>
      </c>
    </row>
    <row r="44" spans="1:33" ht="15" customHeight="1" x14ac:dyDescent="0.25">
      <c r="A44" s="5">
        <v>37</v>
      </c>
      <c r="B44" s="5">
        <v>390280</v>
      </c>
      <c r="C44" s="238" t="s">
        <v>101</v>
      </c>
      <c r="D44" s="299">
        <v>56001</v>
      </c>
      <c r="E44" s="340">
        <v>67989.892808200573</v>
      </c>
      <c r="F44" s="98"/>
      <c r="G44" s="98"/>
      <c r="H44" s="436">
        <v>0</v>
      </c>
      <c r="I44" s="98"/>
      <c r="J44" s="98"/>
      <c r="K44" s="299">
        <v>93710</v>
      </c>
      <c r="L44" s="340">
        <v>99106.788823799434</v>
      </c>
      <c r="M44" s="96">
        <v>10388</v>
      </c>
      <c r="N44" s="97">
        <v>30648.408630000005</v>
      </c>
      <c r="O44" s="96">
        <v>3227</v>
      </c>
      <c r="P44" s="97">
        <v>3498.3907000000004</v>
      </c>
      <c r="Q44" s="96">
        <v>10832</v>
      </c>
      <c r="R44" s="97">
        <v>22240.893359999998</v>
      </c>
      <c r="S44" s="96">
        <v>10617</v>
      </c>
      <c r="T44" s="97">
        <v>13468.31747</v>
      </c>
      <c r="U44" s="96"/>
      <c r="V44" s="97"/>
      <c r="W44" s="299">
        <v>16082</v>
      </c>
      <c r="X44" s="340">
        <v>11187.121660000001</v>
      </c>
      <c r="Y44" s="411">
        <f t="shared" si="0"/>
        <v>178283.80329200003</v>
      </c>
      <c r="Z44" s="318">
        <f>VLOOKUP(B44,'АПП+Стомат._план'!$B$4:$AQ$89,42,FALSE)/1000</f>
        <v>189167.1785919047</v>
      </c>
      <c r="AA44" s="401">
        <f t="shared" si="1"/>
        <v>-10883.37529990467</v>
      </c>
      <c r="AB44" s="96"/>
      <c r="AC44" s="97"/>
      <c r="AD44" s="96"/>
      <c r="AE44" s="97"/>
      <c r="AF44" s="96">
        <v>512</v>
      </c>
      <c r="AG44" s="97">
        <v>472.03993832197102</v>
      </c>
    </row>
    <row r="45" spans="1:33" ht="15" customHeight="1" x14ac:dyDescent="0.25">
      <c r="A45" s="5">
        <v>38</v>
      </c>
      <c r="B45" s="5">
        <v>390600</v>
      </c>
      <c r="C45" s="238" t="s">
        <v>118</v>
      </c>
      <c r="D45" s="299">
        <v>18667</v>
      </c>
      <c r="E45" s="340">
        <v>21028.933318448842</v>
      </c>
      <c r="F45" s="98"/>
      <c r="G45" s="98"/>
      <c r="H45" s="436">
        <v>100</v>
      </c>
      <c r="I45" s="98"/>
      <c r="J45" s="98"/>
      <c r="K45" s="299">
        <v>31329</v>
      </c>
      <c r="L45" s="340">
        <v>26227.987361551153</v>
      </c>
      <c r="M45" s="96">
        <v>4274</v>
      </c>
      <c r="N45" s="97">
        <v>11371.628070000001</v>
      </c>
      <c r="O45" s="96">
        <v>1925</v>
      </c>
      <c r="P45" s="97">
        <v>2086.8924999999999</v>
      </c>
      <c r="Q45" s="96">
        <v>1072</v>
      </c>
      <c r="R45" s="97">
        <v>1382.46929</v>
      </c>
      <c r="S45" s="96">
        <v>4509</v>
      </c>
      <c r="T45" s="97">
        <v>5720.4664699999994</v>
      </c>
      <c r="U45" s="96"/>
      <c r="V45" s="97"/>
      <c r="W45" s="299">
        <v>5378</v>
      </c>
      <c r="X45" s="340">
        <v>3741.0981400000001</v>
      </c>
      <c r="Y45" s="411">
        <f t="shared" si="0"/>
        <v>50998.018819999998</v>
      </c>
      <c r="Z45" s="318">
        <f>VLOOKUP(B45,'АПП+Стомат._план'!$B$4:$AQ$89,42,FALSE)/1000</f>
        <v>47157.289071912681</v>
      </c>
      <c r="AA45" s="401">
        <f t="shared" si="1"/>
        <v>3840.7297480873167</v>
      </c>
      <c r="AB45" s="96"/>
      <c r="AC45" s="97"/>
      <c r="AD45" s="96"/>
      <c r="AE45" s="97"/>
      <c r="AF45" s="96">
        <v>75</v>
      </c>
      <c r="AG45" s="97">
        <v>69.079015364190866</v>
      </c>
    </row>
    <row r="46" spans="1:33" ht="15" customHeight="1" x14ac:dyDescent="0.25">
      <c r="A46" s="5">
        <v>39</v>
      </c>
      <c r="B46" s="5">
        <v>390340</v>
      </c>
      <c r="C46" s="238" t="s">
        <v>119</v>
      </c>
      <c r="D46" s="299">
        <v>17231</v>
      </c>
      <c r="E46" s="340">
        <v>22331.515246459603</v>
      </c>
      <c r="F46" s="98"/>
      <c r="G46" s="98"/>
      <c r="H46" s="436">
        <v>0</v>
      </c>
      <c r="I46" s="98"/>
      <c r="J46" s="98"/>
      <c r="K46" s="299">
        <v>28617</v>
      </c>
      <c r="L46" s="340">
        <v>24240.003503540393</v>
      </c>
      <c r="M46" s="96">
        <v>4102</v>
      </c>
      <c r="N46" s="97">
        <v>11897.029119999999</v>
      </c>
      <c r="O46" s="96">
        <v>1248</v>
      </c>
      <c r="P46" s="97">
        <v>1352.9568000000002</v>
      </c>
      <c r="Q46" s="96">
        <v>983</v>
      </c>
      <c r="R46" s="97">
        <v>1359.6405500000001</v>
      </c>
      <c r="S46" s="96">
        <v>4239</v>
      </c>
      <c r="T46" s="97">
        <v>5378.14797</v>
      </c>
      <c r="U46" s="96"/>
      <c r="V46" s="97"/>
      <c r="W46" s="299">
        <v>5056</v>
      </c>
      <c r="X46" s="340">
        <v>3517.1052799999998</v>
      </c>
      <c r="Y46" s="411">
        <f t="shared" si="0"/>
        <v>50088.624029999992</v>
      </c>
      <c r="Z46" s="318">
        <f>VLOOKUP(B46,'АПП+Стомат._план'!$B$4:$AQ$89,42,FALSE)/1000</f>
        <v>43537.620235206618</v>
      </c>
      <c r="AA46" s="401">
        <f t="shared" si="1"/>
        <v>6551.0037947933743</v>
      </c>
      <c r="AB46" s="96"/>
      <c r="AC46" s="97"/>
      <c r="AD46" s="96"/>
      <c r="AE46" s="97"/>
      <c r="AF46" s="96">
        <v>358</v>
      </c>
      <c r="AG46" s="97">
        <v>330.33939398516924</v>
      </c>
    </row>
    <row r="47" spans="1:33" ht="15" hidden="1" customHeight="1" x14ac:dyDescent="0.25">
      <c r="A47" s="5">
        <v>40</v>
      </c>
      <c r="B47" s="5">
        <v>390782</v>
      </c>
      <c r="C47" s="397" t="s">
        <v>193</v>
      </c>
      <c r="D47" s="299">
        <v>829</v>
      </c>
      <c r="E47" s="340">
        <v>71417.903999999995</v>
      </c>
      <c r="F47" s="98">
        <v>829</v>
      </c>
      <c r="G47" s="342">
        <v>71417.903999999995</v>
      </c>
      <c r="H47" s="436">
        <v>0</v>
      </c>
      <c r="I47" s="343"/>
      <c r="J47" s="343"/>
      <c r="K47" s="101">
        <v>0</v>
      </c>
      <c r="L47" s="341">
        <v>0</v>
      </c>
      <c r="M47" s="96">
        <v>0</v>
      </c>
      <c r="N47" s="97">
        <v>0</v>
      </c>
      <c r="O47" s="96">
        <v>0</v>
      </c>
      <c r="P47" s="97">
        <v>0</v>
      </c>
      <c r="Q47" s="96">
        <v>0</v>
      </c>
      <c r="R47" s="97">
        <v>0</v>
      </c>
      <c r="S47" s="96">
        <v>0</v>
      </c>
      <c r="T47" s="97">
        <v>0</v>
      </c>
      <c r="U47" s="101"/>
      <c r="V47" s="217"/>
      <c r="W47" s="101">
        <v>0</v>
      </c>
      <c r="X47" s="341">
        <v>0</v>
      </c>
      <c r="Y47" s="411">
        <f t="shared" si="0"/>
        <v>71417.903999999995</v>
      </c>
      <c r="Z47" s="318">
        <f>VLOOKUP(B47,'АПП+Стомат._план'!$B$4:$AQ$89,42,FALSE)/1000</f>
        <v>71417.903999999995</v>
      </c>
      <c r="AA47" s="401">
        <f t="shared" si="1"/>
        <v>0</v>
      </c>
      <c r="AB47" s="96"/>
      <c r="AC47" s="97"/>
      <c r="AD47" s="101"/>
      <c r="AE47" s="217"/>
      <c r="AF47" s="96"/>
      <c r="AG47" s="97"/>
    </row>
    <row r="48" spans="1:33" s="236" customFormat="1" ht="15" hidden="1" customHeight="1" x14ac:dyDescent="0.25">
      <c r="A48" s="5">
        <v>41</v>
      </c>
      <c r="B48" s="5">
        <v>392080</v>
      </c>
      <c r="C48" s="397" t="s">
        <v>194</v>
      </c>
      <c r="D48" s="299">
        <v>431</v>
      </c>
      <c r="E48" s="340">
        <v>43053.226920000001</v>
      </c>
      <c r="F48" s="98">
        <v>431</v>
      </c>
      <c r="G48" s="342">
        <v>43053.226920000001</v>
      </c>
      <c r="H48" s="436">
        <v>0</v>
      </c>
      <c r="I48" s="343"/>
      <c r="J48" s="343"/>
      <c r="K48" s="101">
        <v>0</v>
      </c>
      <c r="L48" s="341">
        <v>0</v>
      </c>
      <c r="M48" s="96">
        <v>0</v>
      </c>
      <c r="N48" s="97">
        <v>0</v>
      </c>
      <c r="O48" s="96">
        <v>0</v>
      </c>
      <c r="P48" s="97">
        <v>0</v>
      </c>
      <c r="Q48" s="96">
        <v>0</v>
      </c>
      <c r="R48" s="97">
        <v>0</v>
      </c>
      <c r="S48" s="96">
        <v>0</v>
      </c>
      <c r="T48" s="97">
        <v>0</v>
      </c>
      <c r="U48" s="101"/>
      <c r="V48" s="217"/>
      <c r="W48" s="101">
        <v>0</v>
      </c>
      <c r="X48" s="341">
        <v>0</v>
      </c>
      <c r="Y48" s="411">
        <f t="shared" si="0"/>
        <v>43053.226920000001</v>
      </c>
      <c r="Z48" s="318">
        <f>VLOOKUP(B48,'АПП+Стомат._план'!$B$4:$AQ$89,42,FALSE)/1000</f>
        <v>43053.226920000001</v>
      </c>
      <c r="AA48" s="401">
        <f t="shared" si="1"/>
        <v>0</v>
      </c>
      <c r="AB48" s="96"/>
      <c r="AC48" s="97"/>
      <c r="AD48" s="96"/>
      <c r="AE48" s="97"/>
      <c r="AF48" s="96"/>
      <c r="AG48" s="97"/>
    </row>
    <row r="49" spans="1:33" s="236" customFormat="1" ht="15" hidden="1" customHeight="1" x14ac:dyDescent="0.25">
      <c r="A49" s="5">
        <v>42</v>
      </c>
      <c r="B49" s="5">
        <v>392160</v>
      </c>
      <c r="C49" s="397" t="s">
        <v>195</v>
      </c>
      <c r="D49" s="299">
        <v>2829</v>
      </c>
      <c r="E49" s="340">
        <v>249040.82331000001</v>
      </c>
      <c r="F49" s="98">
        <v>2829</v>
      </c>
      <c r="G49" s="342">
        <v>249040.82331000001</v>
      </c>
      <c r="H49" s="436">
        <v>0</v>
      </c>
      <c r="I49" s="343"/>
      <c r="J49" s="343"/>
      <c r="K49" s="101">
        <v>0</v>
      </c>
      <c r="L49" s="341">
        <v>0</v>
      </c>
      <c r="M49" s="96">
        <v>0</v>
      </c>
      <c r="N49" s="97">
        <v>0</v>
      </c>
      <c r="O49" s="96">
        <v>0</v>
      </c>
      <c r="P49" s="97">
        <v>0</v>
      </c>
      <c r="Q49" s="96">
        <v>0</v>
      </c>
      <c r="R49" s="97">
        <v>0</v>
      </c>
      <c r="S49" s="96">
        <v>0</v>
      </c>
      <c r="T49" s="97">
        <v>0</v>
      </c>
      <c r="U49" s="101"/>
      <c r="V49" s="217"/>
      <c r="W49" s="101">
        <v>0</v>
      </c>
      <c r="X49" s="341">
        <v>0</v>
      </c>
      <c r="Y49" s="411">
        <f t="shared" si="0"/>
        <v>249040.82331000001</v>
      </c>
      <c r="Z49" s="318">
        <f>VLOOKUP(B49,'АПП+Стомат._план'!$B$4:$AQ$89,42,FALSE)/1000</f>
        <v>249040.82331000001</v>
      </c>
      <c r="AA49" s="401">
        <f t="shared" si="1"/>
        <v>0</v>
      </c>
      <c r="AB49" s="96"/>
      <c r="AC49" s="97"/>
      <c r="AD49" s="96"/>
      <c r="AE49" s="97"/>
      <c r="AF49" s="96"/>
      <c r="AG49" s="97"/>
    </row>
    <row r="50" spans="1:33" ht="15" hidden="1" customHeight="1" x14ac:dyDescent="0.25">
      <c r="A50" s="5">
        <v>43</v>
      </c>
      <c r="B50" s="5">
        <v>392400</v>
      </c>
      <c r="C50" s="6" t="s">
        <v>51</v>
      </c>
      <c r="D50" s="299">
        <v>900</v>
      </c>
      <c r="E50" s="340">
        <v>1191.8610000000001</v>
      </c>
      <c r="F50" s="98"/>
      <c r="G50" s="98"/>
      <c r="H50" s="436">
        <v>0</v>
      </c>
      <c r="I50" s="343"/>
      <c r="J50" s="343"/>
      <c r="K50" s="101">
        <v>30</v>
      </c>
      <c r="L50" s="341">
        <v>9.4449000000000005</v>
      </c>
      <c r="M50" s="96">
        <v>0</v>
      </c>
      <c r="N50" s="97">
        <v>0</v>
      </c>
      <c r="O50" s="96">
        <v>0</v>
      </c>
      <c r="P50" s="97">
        <v>0</v>
      </c>
      <c r="Q50" s="96">
        <v>0</v>
      </c>
      <c r="R50" s="97">
        <v>0</v>
      </c>
      <c r="S50" s="96">
        <v>0</v>
      </c>
      <c r="T50" s="97">
        <v>0</v>
      </c>
      <c r="U50" s="101"/>
      <c r="V50" s="217"/>
      <c r="W50" s="101">
        <v>0</v>
      </c>
      <c r="X50" s="341">
        <v>0</v>
      </c>
      <c r="Y50" s="411">
        <f t="shared" si="0"/>
        <v>1201.3059000000001</v>
      </c>
      <c r="Z50" s="318">
        <f>VLOOKUP(B50,'АПП+Стомат._план'!$B$4:$AQ$89,42,FALSE)/1000</f>
        <v>1191.8610000000001</v>
      </c>
      <c r="AA50" s="401">
        <f t="shared" si="1"/>
        <v>9.4448999999999614</v>
      </c>
      <c r="AB50" s="96"/>
      <c r="AC50" s="97"/>
      <c r="AD50" s="96"/>
      <c r="AE50" s="97"/>
      <c r="AF50" s="96"/>
      <c r="AG50" s="97"/>
    </row>
    <row r="51" spans="1:33" ht="15" hidden="1" customHeight="1" x14ac:dyDescent="0.25">
      <c r="A51" s="5">
        <v>44</v>
      </c>
      <c r="B51" s="5">
        <v>391492</v>
      </c>
      <c r="C51" s="6" t="s">
        <v>196</v>
      </c>
      <c r="D51" s="299">
        <v>0</v>
      </c>
      <c r="E51" s="340">
        <v>1087.2</v>
      </c>
      <c r="F51" s="343"/>
      <c r="G51" s="343"/>
      <c r="H51" s="436">
        <v>0</v>
      </c>
      <c r="I51" s="343"/>
      <c r="J51" s="343"/>
      <c r="K51" s="101">
        <v>0</v>
      </c>
      <c r="L51" s="341">
        <v>0</v>
      </c>
      <c r="M51" s="96">
        <v>0</v>
      </c>
      <c r="N51" s="97">
        <v>0</v>
      </c>
      <c r="O51" s="96">
        <v>0</v>
      </c>
      <c r="P51" s="97">
        <v>0</v>
      </c>
      <c r="Q51" s="96">
        <v>0</v>
      </c>
      <c r="R51" s="97">
        <v>0</v>
      </c>
      <c r="S51" s="96">
        <v>0</v>
      </c>
      <c r="T51" s="97">
        <v>0</v>
      </c>
      <c r="U51" s="101"/>
      <c r="V51" s="217"/>
      <c r="W51" s="101">
        <v>0</v>
      </c>
      <c r="X51" s="341">
        <v>0</v>
      </c>
      <c r="Y51" s="411">
        <f t="shared" si="0"/>
        <v>1087.2</v>
      </c>
      <c r="Z51" s="318">
        <f>VLOOKUP(B51,'АПП+Стомат._план'!$B$4:$AQ$89,42,FALSE)/1000</f>
        <v>0</v>
      </c>
      <c r="AA51" s="401">
        <f t="shared" si="1"/>
        <v>1087.2</v>
      </c>
      <c r="AB51" s="96"/>
      <c r="AC51" s="97"/>
      <c r="AD51" s="101"/>
      <c r="AE51" s="217"/>
      <c r="AF51" s="96"/>
      <c r="AG51" s="97"/>
    </row>
    <row r="52" spans="1:33" ht="15" hidden="1" customHeight="1" x14ac:dyDescent="0.25">
      <c r="A52" s="5">
        <v>45</v>
      </c>
      <c r="B52" s="5">
        <v>392320</v>
      </c>
      <c r="C52" s="6" t="s">
        <v>52</v>
      </c>
      <c r="D52" s="299">
        <v>750</v>
      </c>
      <c r="E52" s="340">
        <v>993.21749999999997</v>
      </c>
      <c r="F52" s="343"/>
      <c r="G52" s="343"/>
      <c r="H52" s="436">
        <v>0</v>
      </c>
      <c r="I52" s="343"/>
      <c r="J52" s="343"/>
      <c r="K52" s="101">
        <v>0</v>
      </c>
      <c r="L52" s="341">
        <v>0</v>
      </c>
      <c r="M52" s="96">
        <v>0</v>
      </c>
      <c r="N52" s="97">
        <v>0</v>
      </c>
      <c r="O52" s="96">
        <v>0</v>
      </c>
      <c r="P52" s="97">
        <v>0</v>
      </c>
      <c r="Q52" s="96">
        <v>0</v>
      </c>
      <c r="R52" s="97">
        <v>0</v>
      </c>
      <c r="S52" s="96">
        <v>0</v>
      </c>
      <c r="T52" s="97">
        <v>0</v>
      </c>
      <c r="U52" s="101"/>
      <c r="V52" s="217"/>
      <c r="W52" s="101">
        <v>0</v>
      </c>
      <c r="X52" s="341">
        <v>0</v>
      </c>
      <c r="Y52" s="411">
        <f t="shared" si="0"/>
        <v>993.21749999999997</v>
      </c>
      <c r="Z52" s="318">
        <f>VLOOKUP(B52,'АПП+Стомат._план'!$B$4:$AQ$89,42,FALSE)/1000</f>
        <v>993.21749999999997</v>
      </c>
      <c r="AA52" s="401">
        <f t="shared" si="1"/>
        <v>0</v>
      </c>
      <c r="AB52" s="96"/>
      <c r="AC52" s="97"/>
      <c r="AD52" s="96"/>
      <c r="AE52" s="97"/>
      <c r="AF52" s="96"/>
      <c r="AG52" s="97"/>
    </row>
    <row r="53" spans="1:33" ht="15" hidden="1" customHeight="1" x14ac:dyDescent="0.25">
      <c r="A53" s="5">
        <v>46</v>
      </c>
      <c r="B53" s="5">
        <v>391310</v>
      </c>
      <c r="C53" s="6" t="s">
        <v>53</v>
      </c>
      <c r="D53" s="299">
        <v>100</v>
      </c>
      <c r="E53" s="340">
        <v>132.429</v>
      </c>
      <c r="F53" s="98"/>
      <c r="G53" s="98"/>
      <c r="H53" s="436">
        <v>0</v>
      </c>
      <c r="I53" s="98"/>
      <c r="J53" s="99"/>
      <c r="K53" s="101">
        <v>1000</v>
      </c>
      <c r="L53" s="341">
        <v>314.83</v>
      </c>
      <c r="M53" s="96">
        <v>0</v>
      </c>
      <c r="N53" s="97">
        <v>0</v>
      </c>
      <c r="O53" s="96">
        <v>0</v>
      </c>
      <c r="P53" s="97">
        <v>0</v>
      </c>
      <c r="Q53" s="96">
        <v>0</v>
      </c>
      <c r="R53" s="97">
        <v>0</v>
      </c>
      <c r="S53" s="96">
        <v>0</v>
      </c>
      <c r="T53" s="97">
        <v>0</v>
      </c>
      <c r="U53" s="96"/>
      <c r="V53" s="97"/>
      <c r="W53" s="101">
        <v>0</v>
      </c>
      <c r="X53" s="341">
        <v>0</v>
      </c>
      <c r="Y53" s="411">
        <f t="shared" si="0"/>
        <v>447.25900000000001</v>
      </c>
      <c r="Z53" s="318">
        <f>VLOOKUP(B53,'АПП+Стомат._план'!$B$4:$AQ$89,42,FALSE)/1000</f>
        <v>524.93232000000012</v>
      </c>
      <c r="AA53" s="401">
        <f t="shared" si="1"/>
        <v>-77.673320000000103</v>
      </c>
      <c r="AB53" s="96"/>
      <c r="AC53" s="97"/>
      <c r="AD53" s="96"/>
      <c r="AE53" s="97"/>
      <c r="AF53" s="96"/>
      <c r="AG53" s="97"/>
    </row>
    <row r="54" spans="1:33" ht="15" hidden="1" customHeight="1" x14ac:dyDescent="0.25">
      <c r="A54" s="5">
        <v>47</v>
      </c>
      <c r="B54" s="5">
        <v>392870</v>
      </c>
      <c r="C54" s="6" t="s">
        <v>197</v>
      </c>
      <c r="D54" s="299"/>
      <c r="E54" s="340"/>
      <c r="F54" s="96"/>
      <c r="G54" s="97"/>
      <c r="H54" s="436">
        <v>0</v>
      </c>
      <c r="I54" s="96">
        <v>5</v>
      </c>
      <c r="J54" s="99">
        <v>195</v>
      </c>
      <c r="K54" s="101">
        <v>0</v>
      </c>
      <c r="L54" s="341">
        <v>0</v>
      </c>
      <c r="M54" s="96">
        <v>0</v>
      </c>
      <c r="N54" s="97">
        <v>0</v>
      </c>
      <c r="O54" s="96">
        <v>0</v>
      </c>
      <c r="P54" s="97">
        <v>0</v>
      </c>
      <c r="Q54" s="96">
        <v>0</v>
      </c>
      <c r="R54" s="97">
        <v>0</v>
      </c>
      <c r="S54" s="96">
        <v>0</v>
      </c>
      <c r="T54" s="97">
        <v>0</v>
      </c>
      <c r="U54" s="96"/>
      <c r="V54" s="97"/>
      <c r="W54" s="101">
        <v>0</v>
      </c>
      <c r="X54" s="341">
        <v>0</v>
      </c>
      <c r="Y54" s="411">
        <f t="shared" si="0"/>
        <v>0</v>
      </c>
      <c r="Z54" s="318" t="e">
        <f>VLOOKUP(B54,'АПП+Стомат._план'!$B$4:$AQ$89,42,FALSE)/1000</f>
        <v>#N/A</v>
      </c>
      <c r="AA54" s="401" t="e">
        <f t="shared" si="1"/>
        <v>#N/A</v>
      </c>
      <c r="AB54" s="96"/>
      <c r="AC54" s="97"/>
      <c r="AD54" s="96"/>
      <c r="AE54" s="97"/>
      <c r="AF54" s="96"/>
      <c r="AG54" s="97"/>
    </row>
    <row r="55" spans="1:33" ht="15" hidden="1" customHeight="1" x14ac:dyDescent="0.25">
      <c r="A55" s="5">
        <v>48</v>
      </c>
      <c r="B55" s="5">
        <v>391930</v>
      </c>
      <c r="C55" s="6" t="s">
        <v>198</v>
      </c>
      <c r="D55" s="299">
        <v>0</v>
      </c>
      <c r="E55" s="340">
        <v>2511.33</v>
      </c>
      <c r="F55" s="96"/>
      <c r="G55" s="97"/>
      <c r="H55" s="436">
        <v>0</v>
      </c>
      <c r="I55" s="97"/>
      <c r="J55" s="100"/>
      <c r="K55" s="101">
        <v>0</v>
      </c>
      <c r="L55" s="341">
        <v>0</v>
      </c>
      <c r="M55" s="96">
        <v>0</v>
      </c>
      <c r="N55" s="97">
        <v>0</v>
      </c>
      <c r="O55" s="96">
        <v>0</v>
      </c>
      <c r="P55" s="97">
        <v>0</v>
      </c>
      <c r="Q55" s="96">
        <v>0</v>
      </c>
      <c r="R55" s="97">
        <v>0</v>
      </c>
      <c r="S55" s="96">
        <v>0</v>
      </c>
      <c r="T55" s="97">
        <v>0</v>
      </c>
      <c r="U55" s="96"/>
      <c r="V55" s="97"/>
      <c r="W55" s="101">
        <v>0</v>
      </c>
      <c r="X55" s="341">
        <v>0</v>
      </c>
      <c r="Y55" s="411">
        <f t="shared" si="0"/>
        <v>2511.33</v>
      </c>
      <c r="Z55" s="318">
        <f>VLOOKUP(B55,'АПП+Стомат._план'!$B$4:$AQ$89,42,FALSE)/1000</f>
        <v>0</v>
      </c>
      <c r="AA55" s="401">
        <f t="shared" si="1"/>
        <v>2511.33</v>
      </c>
      <c r="AB55" s="96"/>
      <c r="AC55" s="97"/>
      <c r="AD55" s="101"/>
      <c r="AE55" s="217"/>
      <c r="AF55" s="96"/>
      <c r="AG55" s="97"/>
    </row>
    <row r="56" spans="1:33" ht="15" hidden="1" customHeight="1" x14ac:dyDescent="0.25">
      <c r="A56" s="5">
        <v>49</v>
      </c>
      <c r="B56" s="5">
        <v>392630</v>
      </c>
      <c r="C56" s="6" t="s">
        <v>199</v>
      </c>
      <c r="D56" s="299">
        <v>50</v>
      </c>
      <c r="E56" s="340">
        <v>66.214500000000001</v>
      </c>
      <c r="F56" s="98"/>
      <c r="G56" s="98"/>
      <c r="H56" s="436">
        <v>0</v>
      </c>
      <c r="I56" s="98"/>
      <c r="J56" s="99"/>
      <c r="K56" s="101">
        <v>30</v>
      </c>
      <c r="L56" s="341">
        <v>9.4449000000000005</v>
      </c>
      <c r="M56" s="96">
        <v>0</v>
      </c>
      <c r="N56" s="97">
        <v>0</v>
      </c>
      <c r="O56" s="96">
        <v>0</v>
      </c>
      <c r="P56" s="97">
        <v>0</v>
      </c>
      <c r="Q56" s="96">
        <v>0</v>
      </c>
      <c r="R56" s="97">
        <v>0</v>
      </c>
      <c r="S56" s="96">
        <v>0</v>
      </c>
      <c r="T56" s="97">
        <v>0</v>
      </c>
      <c r="U56" s="96"/>
      <c r="V56" s="97"/>
      <c r="W56" s="101">
        <v>0</v>
      </c>
      <c r="X56" s="341">
        <v>0</v>
      </c>
      <c r="Y56" s="411">
        <f t="shared" si="0"/>
        <v>75.659400000000005</v>
      </c>
      <c r="Z56" s="318">
        <f>VLOOKUP(B56,'АПП+Стомат._план'!$B$4:$AQ$89,42,FALSE)/1000</f>
        <v>66.214500000000001</v>
      </c>
      <c r="AA56" s="401">
        <f t="shared" si="1"/>
        <v>9.4449000000000041</v>
      </c>
      <c r="AB56" s="96"/>
      <c r="AC56" s="97"/>
      <c r="AD56" s="96"/>
      <c r="AE56" s="97"/>
      <c r="AF56" s="96"/>
      <c r="AG56" s="97"/>
    </row>
    <row r="57" spans="1:33" ht="15" hidden="1" customHeight="1" x14ac:dyDescent="0.25">
      <c r="A57" s="5">
        <v>50</v>
      </c>
      <c r="B57" s="5">
        <v>392750</v>
      </c>
      <c r="C57" s="6" t="s">
        <v>65</v>
      </c>
      <c r="D57" s="299">
        <v>50</v>
      </c>
      <c r="E57" s="340">
        <v>66.214500000000001</v>
      </c>
      <c r="F57" s="98"/>
      <c r="G57" s="98"/>
      <c r="H57" s="436">
        <v>0</v>
      </c>
      <c r="I57" s="98"/>
      <c r="J57" s="99"/>
      <c r="K57" s="101">
        <v>0</v>
      </c>
      <c r="L57" s="341">
        <v>0</v>
      </c>
      <c r="M57" s="96">
        <v>0</v>
      </c>
      <c r="N57" s="97">
        <v>0</v>
      </c>
      <c r="O57" s="96">
        <v>0</v>
      </c>
      <c r="P57" s="97">
        <v>0</v>
      </c>
      <c r="Q57" s="96">
        <v>0</v>
      </c>
      <c r="R57" s="97">
        <v>0</v>
      </c>
      <c r="S57" s="96">
        <v>0</v>
      </c>
      <c r="T57" s="97">
        <v>0</v>
      </c>
      <c r="U57" s="96"/>
      <c r="V57" s="97"/>
      <c r="W57" s="101">
        <v>0</v>
      </c>
      <c r="X57" s="341">
        <v>0</v>
      </c>
      <c r="Y57" s="411">
        <f t="shared" si="0"/>
        <v>66.214500000000001</v>
      </c>
      <c r="Z57" s="318">
        <f>VLOOKUP(B57,'АПП+Стомат._план'!$B$4:$AQ$89,42,FALSE)/1000</f>
        <v>66.214500000000001</v>
      </c>
      <c r="AA57" s="401">
        <f t="shared" si="1"/>
        <v>0</v>
      </c>
      <c r="AB57" s="96"/>
      <c r="AC57" s="97"/>
      <c r="AD57" s="96"/>
      <c r="AE57" s="97"/>
      <c r="AF57" s="96"/>
      <c r="AG57" s="97"/>
    </row>
    <row r="58" spans="1:33" ht="15" hidden="1" customHeight="1" x14ac:dyDescent="0.25">
      <c r="A58" s="5">
        <v>51</v>
      </c>
      <c r="B58" s="5">
        <v>392830</v>
      </c>
      <c r="C58" s="6" t="s">
        <v>200</v>
      </c>
      <c r="D58" s="299">
        <v>0</v>
      </c>
      <c r="E58" s="340">
        <v>2075.81</v>
      </c>
      <c r="F58" s="98"/>
      <c r="G58" s="98"/>
      <c r="H58" s="436">
        <v>0</v>
      </c>
      <c r="I58" s="98"/>
      <c r="J58" s="99"/>
      <c r="K58" s="101">
        <v>0</v>
      </c>
      <c r="L58" s="341">
        <v>0</v>
      </c>
      <c r="M58" s="96">
        <v>0</v>
      </c>
      <c r="N58" s="97">
        <v>0</v>
      </c>
      <c r="O58" s="96">
        <v>0</v>
      </c>
      <c r="P58" s="97">
        <v>0</v>
      </c>
      <c r="Q58" s="96">
        <v>0</v>
      </c>
      <c r="R58" s="97">
        <v>0</v>
      </c>
      <c r="S58" s="96">
        <v>0</v>
      </c>
      <c r="T58" s="97">
        <v>0</v>
      </c>
      <c r="U58" s="96"/>
      <c r="V58" s="97"/>
      <c r="W58" s="101">
        <v>0</v>
      </c>
      <c r="X58" s="341">
        <v>0</v>
      </c>
      <c r="Y58" s="411">
        <f t="shared" si="0"/>
        <v>2075.81</v>
      </c>
      <c r="Z58" s="318">
        <f>VLOOKUP(B58,'АПП+Стомат._план'!$B$4:$AQ$89,42,FALSE)/1000</f>
        <v>0</v>
      </c>
      <c r="AA58" s="401">
        <f t="shared" si="1"/>
        <v>2075.81</v>
      </c>
      <c r="AB58" s="96"/>
      <c r="AC58" s="97"/>
      <c r="AD58" s="96"/>
      <c r="AE58" s="97"/>
      <c r="AF58" s="96"/>
      <c r="AG58" s="97"/>
    </row>
    <row r="59" spans="1:33" ht="15" hidden="1" customHeight="1" x14ac:dyDescent="0.25">
      <c r="A59" s="5">
        <v>52</v>
      </c>
      <c r="B59" s="5">
        <v>390008</v>
      </c>
      <c r="C59" s="6" t="s">
        <v>201</v>
      </c>
      <c r="D59" s="299"/>
      <c r="E59" s="340"/>
      <c r="F59" s="98"/>
      <c r="G59" s="98"/>
      <c r="H59" s="436">
        <v>0</v>
      </c>
      <c r="I59" s="98">
        <v>30</v>
      </c>
      <c r="J59" s="99">
        <v>9.4449000000000005</v>
      </c>
      <c r="K59" s="101">
        <v>0</v>
      </c>
      <c r="L59" s="341">
        <v>0</v>
      </c>
      <c r="M59" s="96">
        <v>0</v>
      </c>
      <c r="N59" s="97">
        <v>0</v>
      </c>
      <c r="O59" s="96">
        <v>0</v>
      </c>
      <c r="P59" s="97">
        <v>0</v>
      </c>
      <c r="Q59" s="96">
        <v>0</v>
      </c>
      <c r="R59" s="97">
        <v>0</v>
      </c>
      <c r="S59" s="96">
        <v>0</v>
      </c>
      <c r="T59" s="97">
        <v>0</v>
      </c>
      <c r="U59" s="96"/>
      <c r="V59" s="97"/>
      <c r="W59" s="101">
        <v>0</v>
      </c>
      <c r="X59" s="341">
        <v>0</v>
      </c>
      <c r="Y59" s="411">
        <f t="shared" si="0"/>
        <v>0</v>
      </c>
      <c r="Z59" s="318">
        <f>VLOOKUP(B59,'АПП+Стомат._план'!$B$4:$AQ$89,42,FALSE)/1000</f>
        <v>0</v>
      </c>
      <c r="AA59" s="401">
        <f t="shared" si="1"/>
        <v>0</v>
      </c>
      <c r="AB59" s="96"/>
      <c r="AC59" s="97"/>
      <c r="AD59" s="101"/>
      <c r="AE59" s="217"/>
      <c r="AF59" s="96"/>
      <c r="AG59" s="97"/>
    </row>
    <row r="60" spans="1:33" ht="15" hidden="1" customHeight="1" x14ac:dyDescent="0.25">
      <c r="A60" s="5">
        <v>53</v>
      </c>
      <c r="B60" s="5">
        <v>391960</v>
      </c>
      <c r="C60" s="6" t="s">
        <v>66</v>
      </c>
      <c r="D60" s="299">
        <v>0</v>
      </c>
      <c r="E60" s="340">
        <v>0</v>
      </c>
      <c r="F60" s="98"/>
      <c r="G60" s="98"/>
      <c r="H60" s="436">
        <v>0</v>
      </c>
      <c r="I60" s="98">
        <v>2389</v>
      </c>
      <c r="J60" s="99">
        <v>5189.13</v>
      </c>
      <c r="K60" s="101">
        <v>0</v>
      </c>
      <c r="L60" s="341">
        <v>0</v>
      </c>
      <c r="M60" s="96">
        <v>0</v>
      </c>
      <c r="N60" s="97">
        <v>0</v>
      </c>
      <c r="O60" s="96">
        <v>0</v>
      </c>
      <c r="P60" s="97">
        <v>0</v>
      </c>
      <c r="Q60" s="96">
        <v>0</v>
      </c>
      <c r="R60" s="97">
        <v>0</v>
      </c>
      <c r="S60" s="96">
        <v>0</v>
      </c>
      <c r="T60" s="97">
        <v>0</v>
      </c>
      <c r="U60" s="96"/>
      <c r="V60" s="97"/>
      <c r="W60" s="101">
        <v>0</v>
      </c>
      <c r="X60" s="341">
        <v>0</v>
      </c>
      <c r="Y60" s="411">
        <f t="shared" si="0"/>
        <v>0</v>
      </c>
      <c r="Z60" s="318">
        <f>VLOOKUP(B60,'АПП+Стомат._план'!$B$4:$AQ$89,42,FALSE)/1000</f>
        <v>0</v>
      </c>
      <c r="AA60" s="401">
        <f t="shared" si="1"/>
        <v>0</v>
      </c>
      <c r="AB60" s="96"/>
      <c r="AC60" s="97"/>
      <c r="AD60" s="96"/>
      <c r="AE60" s="97"/>
      <c r="AF60" s="96"/>
      <c r="AG60" s="97"/>
    </row>
    <row r="61" spans="1:33" ht="15" hidden="1" customHeight="1" x14ac:dyDescent="0.25">
      <c r="A61" s="5">
        <v>54</v>
      </c>
      <c r="B61" s="5">
        <v>392910</v>
      </c>
      <c r="C61" s="6" t="s">
        <v>202</v>
      </c>
      <c r="D61" s="299">
        <v>50</v>
      </c>
      <c r="E61" s="340">
        <v>93.394499999999994</v>
      </c>
      <c r="F61" s="98"/>
      <c r="G61" s="98"/>
      <c r="H61" s="436">
        <v>0</v>
      </c>
      <c r="I61" s="98"/>
      <c r="J61" s="97"/>
      <c r="K61" s="101">
        <v>30</v>
      </c>
      <c r="L61" s="341">
        <v>9.4449000000000005</v>
      </c>
      <c r="M61" s="96">
        <v>0</v>
      </c>
      <c r="N61" s="97">
        <v>0</v>
      </c>
      <c r="O61" s="96">
        <v>0</v>
      </c>
      <c r="P61" s="97">
        <v>0</v>
      </c>
      <c r="Q61" s="96">
        <v>0</v>
      </c>
      <c r="R61" s="97">
        <v>0</v>
      </c>
      <c r="S61" s="96">
        <v>0</v>
      </c>
      <c r="T61" s="97">
        <v>0</v>
      </c>
      <c r="U61" s="96"/>
      <c r="V61" s="97"/>
      <c r="W61" s="101">
        <v>0</v>
      </c>
      <c r="X61" s="341">
        <v>0</v>
      </c>
      <c r="Y61" s="411">
        <f t="shared" si="0"/>
        <v>102.8394</v>
      </c>
      <c r="Z61" s="318" t="e">
        <f>VLOOKUP(B61,'АПП+Стомат._план'!$B$4:$AQ$89,42,FALSE)/1000</f>
        <v>#N/A</v>
      </c>
      <c r="AA61" s="401" t="e">
        <f t="shared" si="1"/>
        <v>#N/A</v>
      </c>
      <c r="AB61" s="96"/>
      <c r="AC61" s="97"/>
      <c r="AD61" s="96"/>
      <c r="AE61" s="97"/>
      <c r="AF61" s="96"/>
      <c r="AG61" s="97"/>
    </row>
    <row r="62" spans="1:33" ht="15" hidden="1" customHeight="1" x14ac:dyDescent="0.25">
      <c r="A62" s="5">
        <v>55</v>
      </c>
      <c r="B62" s="5">
        <v>391370</v>
      </c>
      <c r="C62" s="6" t="s">
        <v>73</v>
      </c>
      <c r="D62" s="299">
        <v>0</v>
      </c>
      <c r="E62" s="340">
        <v>1102.77</v>
      </c>
      <c r="F62" s="98"/>
      <c r="G62" s="98"/>
      <c r="H62" s="436">
        <v>0</v>
      </c>
      <c r="I62" s="98"/>
      <c r="J62" s="97"/>
      <c r="K62" s="101">
        <v>0</v>
      </c>
      <c r="L62" s="341">
        <v>0</v>
      </c>
      <c r="M62" s="96">
        <v>0</v>
      </c>
      <c r="N62" s="97">
        <v>0</v>
      </c>
      <c r="O62" s="96">
        <v>0</v>
      </c>
      <c r="P62" s="97">
        <v>0</v>
      </c>
      <c r="Q62" s="96">
        <v>0</v>
      </c>
      <c r="R62" s="97">
        <v>0</v>
      </c>
      <c r="S62" s="96">
        <v>0</v>
      </c>
      <c r="T62" s="97">
        <v>0</v>
      </c>
      <c r="U62" s="96"/>
      <c r="V62" s="97"/>
      <c r="W62" s="101">
        <v>0</v>
      </c>
      <c r="X62" s="341">
        <v>0</v>
      </c>
      <c r="Y62" s="411">
        <f t="shared" si="0"/>
        <v>1102.77</v>
      </c>
      <c r="Z62" s="318">
        <f>VLOOKUP(B62,'АПП+Стомат._план'!$B$4:$AQ$89,42,FALSE)/1000</f>
        <v>0</v>
      </c>
      <c r="AA62" s="401">
        <f t="shared" si="1"/>
        <v>1102.77</v>
      </c>
      <c r="AB62" s="96"/>
      <c r="AC62" s="97"/>
      <c r="AD62" s="96"/>
      <c r="AE62" s="97"/>
      <c r="AF62" s="96"/>
      <c r="AG62" s="97"/>
    </row>
    <row r="63" spans="1:33" ht="15" hidden="1" customHeight="1" x14ac:dyDescent="0.25">
      <c r="A63" s="5">
        <v>56</v>
      </c>
      <c r="B63" s="5">
        <v>392470</v>
      </c>
      <c r="C63" s="6" t="s">
        <v>67</v>
      </c>
      <c r="D63" s="299">
        <v>0</v>
      </c>
      <c r="E63" s="340">
        <v>0</v>
      </c>
      <c r="F63" s="98"/>
      <c r="G63" s="98"/>
      <c r="H63" s="436">
        <v>0</v>
      </c>
      <c r="I63" s="98">
        <v>10</v>
      </c>
      <c r="J63" s="97">
        <v>0.81</v>
      </c>
      <c r="K63" s="101">
        <v>0</v>
      </c>
      <c r="L63" s="341">
        <v>0</v>
      </c>
      <c r="M63" s="96">
        <v>0</v>
      </c>
      <c r="N63" s="97">
        <v>0</v>
      </c>
      <c r="O63" s="96">
        <v>0</v>
      </c>
      <c r="P63" s="97">
        <v>0</v>
      </c>
      <c r="Q63" s="96">
        <v>0</v>
      </c>
      <c r="R63" s="97">
        <v>0</v>
      </c>
      <c r="S63" s="96">
        <v>0</v>
      </c>
      <c r="T63" s="97">
        <v>0</v>
      </c>
      <c r="U63" s="96"/>
      <c r="V63" s="97"/>
      <c r="W63" s="101">
        <v>0</v>
      </c>
      <c r="X63" s="341">
        <v>0</v>
      </c>
      <c r="Y63" s="411">
        <f t="shared" si="0"/>
        <v>0</v>
      </c>
      <c r="Z63" s="318">
        <f>VLOOKUP(B63,'АПП+Стомат._план'!$B$4:$AQ$89,42,FALSE)/1000</f>
        <v>0</v>
      </c>
      <c r="AA63" s="401">
        <f t="shared" si="1"/>
        <v>0</v>
      </c>
      <c r="AB63" s="96"/>
      <c r="AC63" s="97"/>
      <c r="AD63" s="101"/>
      <c r="AE63" s="217"/>
      <c r="AF63" s="96"/>
      <c r="AG63" s="97"/>
    </row>
    <row r="64" spans="1:33" ht="15" hidden="1" customHeight="1" x14ac:dyDescent="0.25">
      <c r="A64" s="5">
        <v>57</v>
      </c>
      <c r="B64" s="5">
        <v>391970</v>
      </c>
      <c r="C64" s="6" t="s">
        <v>203</v>
      </c>
      <c r="D64" s="299">
        <v>0</v>
      </c>
      <c r="E64" s="340">
        <v>1910.4</v>
      </c>
      <c r="F64" s="98"/>
      <c r="G64" s="98"/>
      <c r="H64" s="436">
        <v>0</v>
      </c>
      <c r="I64" s="98"/>
      <c r="J64" s="97"/>
      <c r="K64" s="101">
        <v>0</v>
      </c>
      <c r="L64" s="341">
        <v>0</v>
      </c>
      <c r="M64" s="96">
        <v>0</v>
      </c>
      <c r="N64" s="97">
        <v>0</v>
      </c>
      <c r="O64" s="96">
        <v>0</v>
      </c>
      <c r="P64" s="97">
        <v>0</v>
      </c>
      <c r="Q64" s="96">
        <v>0</v>
      </c>
      <c r="R64" s="97">
        <v>0</v>
      </c>
      <c r="S64" s="96">
        <v>0</v>
      </c>
      <c r="T64" s="97">
        <v>0</v>
      </c>
      <c r="U64" s="96"/>
      <c r="V64" s="97"/>
      <c r="W64" s="101">
        <v>0</v>
      </c>
      <c r="X64" s="341">
        <v>0</v>
      </c>
      <c r="Y64" s="411">
        <f t="shared" si="0"/>
        <v>1910.4</v>
      </c>
      <c r="Z64" s="318">
        <f>VLOOKUP(B64,'АПП+Стомат._план'!$B$4:$AQ$89,42,FALSE)/1000</f>
        <v>0</v>
      </c>
      <c r="AA64" s="401">
        <f t="shared" si="1"/>
        <v>1910.4</v>
      </c>
      <c r="AB64" s="96"/>
      <c r="AC64" s="97"/>
      <c r="AD64" s="96"/>
      <c r="AE64" s="97"/>
      <c r="AF64" s="96"/>
      <c r="AG64" s="97"/>
    </row>
    <row r="65" spans="1:33" ht="15" hidden="1" customHeight="1" x14ac:dyDescent="0.25">
      <c r="A65" s="5">
        <v>58</v>
      </c>
      <c r="B65" s="5">
        <v>392720</v>
      </c>
      <c r="C65" s="6" t="s">
        <v>69</v>
      </c>
      <c r="D65" s="299">
        <v>0</v>
      </c>
      <c r="E65" s="340">
        <v>1043.56</v>
      </c>
      <c r="F65" s="98"/>
      <c r="G65" s="98"/>
      <c r="H65" s="436">
        <v>0</v>
      </c>
      <c r="I65" s="98"/>
      <c r="J65" s="97"/>
      <c r="K65" s="101">
        <v>0</v>
      </c>
      <c r="L65" s="341">
        <v>0</v>
      </c>
      <c r="M65" s="96">
        <v>0</v>
      </c>
      <c r="N65" s="97">
        <v>0</v>
      </c>
      <c r="O65" s="96">
        <v>0</v>
      </c>
      <c r="P65" s="97">
        <v>0</v>
      </c>
      <c r="Q65" s="96">
        <v>0</v>
      </c>
      <c r="R65" s="97">
        <v>0</v>
      </c>
      <c r="S65" s="96">
        <v>0</v>
      </c>
      <c r="T65" s="97">
        <v>0</v>
      </c>
      <c r="U65" s="96"/>
      <c r="V65" s="97"/>
      <c r="W65" s="101">
        <v>0</v>
      </c>
      <c r="X65" s="341">
        <v>0</v>
      </c>
      <c r="Y65" s="411">
        <f t="shared" si="0"/>
        <v>1043.56</v>
      </c>
      <c r="Z65" s="318">
        <f>VLOOKUP(B65,'АПП+Стомат._план'!$B$4:$AQ$89,42,FALSE)/1000</f>
        <v>0</v>
      </c>
      <c r="AA65" s="401">
        <f t="shared" si="1"/>
        <v>1043.56</v>
      </c>
      <c r="AB65" s="96"/>
      <c r="AC65" s="97"/>
      <c r="AD65" s="96"/>
      <c r="AE65" s="97"/>
      <c r="AF65" s="96"/>
      <c r="AG65" s="97"/>
    </row>
    <row r="66" spans="1:33" ht="15" hidden="1" customHeight="1" x14ac:dyDescent="0.25">
      <c r="A66" s="5">
        <v>59</v>
      </c>
      <c r="B66" s="5">
        <v>392050</v>
      </c>
      <c r="C66" s="6" t="s">
        <v>204</v>
      </c>
      <c r="D66" s="299">
        <v>0</v>
      </c>
      <c r="E66" s="340">
        <v>374.79999999999995</v>
      </c>
      <c r="F66" s="98"/>
      <c r="G66" s="98"/>
      <c r="H66" s="436">
        <v>50</v>
      </c>
      <c r="I66" s="98"/>
      <c r="J66" s="97"/>
      <c r="K66" s="101">
        <v>0</v>
      </c>
      <c r="L66" s="341">
        <v>0</v>
      </c>
      <c r="M66" s="96">
        <v>0</v>
      </c>
      <c r="N66" s="97">
        <v>0</v>
      </c>
      <c r="O66" s="96">
        <v>0</v>
      </c>
      <c r="P66" s="97">
        <v>0</v>
      </c>
      <c r="Q66" s="96">
        <v>0</v>
      </c>
      <c r="R66" s="97">
        <v>0</v>
      </c>
      <c r="S66" s="96">
        <v>0</v>
      </c>
      <c r="T66" s="97">
        <v>0</v>
      </c>
      <c r="U66" s="96"/>
      <c r="V66" s="97"/>
      <c r="W66" s="101">
        <v>0</v>
      </c>
      <c r="X66" s="341">
        <v>0</v>
      </c>
      <c r="Y66" s="411">
        <f t="shared" si="0"/>
        <v>374.79999999999995</v>
      </c>
      <c r="Z66" s="318">
        <f>VLOOKUP(B66,'АПП+Стомат._план'!$B$4:$AQ$89,42,FALSE)/1000</f>
        <v>21.7</v>
      </c>
      <c r="AA66" s="401">
        <f t="shared" si="1"/>
        <v>353.09999999999997</v>
      </c>
      <c r="AB66" s="96"/>
      <c r="AC66" s="97"/>
      <c r="AD66" s="96"/>
      <c r="AE66" s="97"/>
      <c r="AF66" s="96"/>
      <c r="AG66" s="97"/>
    </row>
    <row r="67" spans="1:33" ht="15" hidden="1" customHeight="1" x14ac:dyDescent="0.25">
      <c r="A67" s="5">
        <v>60</v>
      </c>
      <c r="B67" s="5">
        <v>391840</v>
      </c>
      <c r="C67" s="6" t="s">
        <v>205</v>
      </c>
      <c r="D67" s="299">
        <v>0</v>
      </c>
      <c r="E67" s="340">
        <v>0</v>
      </c>
      <c r="F67" s="98"/>
      <c r="G67" s="98"/>
      <c r="H67" s="436">
        <v>0</v>
      </c>
      <c r="I67" s="98"/>
      <c r="J67" s="97"/>
      <c r="K67" s="101">
        <v>80</v>
      </c>
      <c r="L67" s="341">
        <v>1592.48</v>
      </c>
      <c r="M67" s="96">
        <v>0</v>
      </c>
      <c r="N67" s="97">
        <v>0</v>
      </c>
      <c r="O67" s="96">
        <v>0</v>
      </c>
      <c r="P67" s="97">
        <v>0</v>
      </c>
      <c r="Q67" s="96">
        <v>0</v>
      </c>
      <c r="R67" s="97">
        <v>0</v>
      </c>
      <c r="S67" s="96">
        <v>0</v>
      </c>
      <c r="T67" s="97">
        <v>0</v>
      </c>
      <c r="U67" s="96">
        <v>80</v>
      </c>
      <c r="V67" s="97">
        <v>1592.48</v>
      </c>
      <c r="W67" s="101">
        <v>0</v>
      </c>
      <c r="X67" s="341">
        <v>0</v>
      </c>
      <c r="Y67" s="411">
        <f t="shared" si="0"/>
        <v>1592.48</v>
      </c>
      <c r="Z67" s="318">
        <f>VLOOKUP(B67,'АПП+Стомат._план'!$B$4:$AQ$89,42,FALSE)/1000</f>
        <v>1998.9653400000002</v>
      </c>
      <c r="AA67" s="401">
        <f t="shared" si="1"/>
        <v>-406.48534000000018</v>
      </c>
      <c r="AB67" s="96">
        <v>8</v>
      </c>
      <c r="AC67" s="97">
        <v>167.244</v>
      </c>
      <c r="AD67" s="96">
        <v>4</v>
      </c>
      <c r="AE67" s="97">
        <v>91.984200000000016</v>
      </c>
      <c r="AF67" s="96"/>
      <c r="AG67" s="97"/>
    </row>
    <row r="68" spans="1:33" ht="15" hidden="1" customHeight="1" x14ac:dyDescent="0.25">
      <c r="A68" s="5">
        <v>61</v>
      </c>
      <c r="B68" s="5">
        <v>392840</v>
      </c>
      <c r="C68" s="6" t="s">
        <v>206</v>
      </c>
      <c r="D68" s="299">
        <v>50</v>
      </c>
      <c r="E68" s="340">
        <v>71.194500000000005</v>
      </c>
      <c r="F68" s="98"/>
      <c r="G68" s="98"/>
      <c r="H68" s="436">
        <v>0</v>
      </c>
      <c r="I68" s="98"/>
      <c r="J68" s="97"/>
      <c r="K68" s="101">
        <v>30</v>
      </c>
      <c r="L68" s="341">
        <v>9.4449000000000005</v>
      </c>
      <c r="M68" s="96">
        <v>0</v>
      </c>
      <c r="N68" s="97">
        <v>0</v>
      </c>
      <c r="O68" s="96">
        <v>0</v>
      </c>
      <c r="P68" s="97">
        <v>0</v>
      </c>
      <c r="Q68" s="96">
        <v>0</v>
      </c>
      <c r="R68" s="97">
        <v>0</v>
      </c>
      <c r="S68" s="96">
        <v>0</v>
      </c>
      <c r="T68" s="97">
        <v>0</v>
      </c>
      <c r="U68" s="96"/>
      <c r="V68" s="97"/>
      <c r="W68" s="101">
        <v>0</v>
      </c>
      <c r="X68" s="341">
        <v>0</v>
      </c>
      <c r="Y68" s="411">
        <f t="shared" si="0"/>
        <v>80.639400000000009</v>
      </c>
      <c r="Z68" s="318" t="e">
        <f>VLOOKUP(B68,'АПП+Стомат._план'!$B$4:$AQ$89,42,FALSE)/1000</f>
        <v>#N/A</v>
      </c>
      <c r="AA68" s="401" t="e">
        <f t="shared" si="1"/>
        <v>#N/A</v>
      </c>
      <c r="AB68" s="96"/>
      <c r="AC68" s="97"/>
      <c r="AD68" s="96"/>
      <c r="AE68" s="97"/>
      <c r="AF68" s="408"/>
      <c r="AG68" s="408"/>
    </row>
    <row r="69" spans="1:33" ht="15.75" hidden="1" customHeight="1" x14ac:dyDescent="0.25">
      <c r="A69" s="5">
        <v>62</v>
      </c>
      <c r="B69" s="5">
        <v>392580</v>
      </c>
      <c r="C69" s="6" t="s">
        <v>71</v>
      </c>
      <c r="D69" s="299">
        <v>0</v>
      </c>
      <c r="E69" s="340">
        <v>0</v>
      </c>
      <c r="F69" s="98"/>
      <c r="G69" s="98"/>
      <c r="H69" s="436">
        <v>0</v>
      </c>
      <c r="I69" s="98">
        <v>30</v>
      </c>
      <c r="J69" s="97">
        <v>9.4449000000000005</v>
      </c>
      <c r="K69" s="101">
        <v>0</v>
      </c>
      <c r="L69" s="341">
        <v>0</v>
      </c>
      <c r="M69" s="96">
        <v>0</v>
      </c>
      <c r="N69" s="97">
        <v>0</v>
      </c>
      <c r="O69" s="96">
        <v>0</v>
      </c>
      <c r="P69" s="97">
        <v>0</v>
      </c>
      <c r="Q69" s="96">
        <v>0</v>
      </c>
      <c r="R69" s="97">
        <v>0</v>
      </c>
      <c r="S69" s="96">
        <v>0</v>
      </c>
      <c r="T69" s="97">
        <v>0</v>
      </c>
      <c r="U69" s="96"/>
      <c r="V69" s="97"/>
      <c r="W69" s="101">
        <v>0</v>
      </c>
      <c r="X69" s="341">
        <v>0</v>
      </c>
      <c r="Y69" s="411">
        <f t="shared" si="0"/>
        <v>0</v>
      </c>
      <c r="Z69" s="318">
        <f>VLOOKUP(B69,'АПП+Стомат._план'!$B$4:$AQ$89,42,FALSE)/1000</f>
        <v>0</v>
      </c>
      <c r="AA69" s="401">
        <f t="shared" si="1"/>
        <v>0</v>
      </c>
      <c r="AB69" s="96"/>
      <c r="AC69" s="97"/>
      <c r="AD69" s="96"/>
      <c r="AE69" s="97"/>
      <c r="AF69" s="408"/>
      <c r="AG69" s="408"/>
    </row>
    <row r="70" spans="1:33" s="236" customFormat="1" ht="15.75" hidden="1" customHeight="1" x14ac:dyDescent="0.25">
      <c r="A70" s="5">
        <v>63</v>
      </c>
      <c r="B70" s="5">
        <v>392900</v>
      </c>
      <c r="C70" s="6" t="s">
        <v>207</v>
      </c>
      <c r="D70" s="299"/>
      <c r="E70" s="340">
        <f>H70</f>
        <v>0</v>
      </c>
      <c r="F70" s="98"/>
      <c r="G70" s="98"/>
      <c r="H70" s="436">
        <v>0</v>
      </c>
      <c r="I70" s="98"/>
      <c r="J70" s="97"/>
      <c r="K70" s="101">
        <v>0</v>
      </c>
      <c r="L70" s="341">
        <v>0</v>
      </c>
      <c r="M70" s="96">
        <v>0</v>
      </c>
      <c r="N70" s="97">
        <v>0</v>
      </c>
      <c r="O70" s="96">
        <v>0</v>
      </c>
      <c r="P70" s="97">
        <v>0</v>
      </c>
      <c r="Q70" s="96">
        <v>0</v>
      </c>
      <c r="R70" s="97">
        <v>0</v>
      </c>
      <c r="S70" s="96">
        <v>0</v>
      </c>
      <c r="T70" s="97">
        <v>0</v>
      </c>
      <c r="U70" s="96"/>
      <c r="V70" s="97"/>
      <c r="W70" s="101">
        <v>0</v>
      </c>
      <c r="X70" s="341">
        <v>0</v>
      </c>
      <c r="Y70" s="411">
        <f t="shared" si="0"/>
        <v>0</v>
      </c>
      <c r="Z70" s="318" t="e">
        <f>VLOOKUP(B70,'АПП+Стомат._план'!$B$4:$AQ$89,42,FALSE)/1000</f>
        <v>#N/A</v>
      </c>
      <c r="AA70" s="401" t="e">
        <f t="shared" si="1"/>
        <v>#N/A</v>
      </c>
      <c r="AB70" s="96"/>
      <c r="AC70" s="97"/>
      <c r="AD70" s="96"/>
      <c r="AE70" s="97"/>
      <c r="AF70" s="408"/>
      <c r="AG70" s="408"/>
    </row>
    <row r="71" spans="1:33" s="236" customFormat="1" ht="15.75" hidden="1" customHeight="1" x14ac:dyDescent="0.25">
      <c r="A71" s="5">
        <v>64</v>
      </c>
      <c r="B71" s="5">
        <v>390010</v>
      </c>
      <c r="C71" s="6" t="s">
        <v>208</v>
      </c>
      <c r="D71" s="299">
        <v>0</v>
      </c>
      <c r="E71" s="340">
        <v>0</v>
      </c>
      <c r="F71" s="98"/>
      <c r="G71" s="98"/>
      <c r="H71" s="436">
        <v>0</v>
      </c>
      <c r="I71" s="98"/>
      <c r="J71" s="97"/>
      <c r="K71" s="101">
        <v>30</v>
      </c>
      <c r="L71" s="341">
        <v>9.4449000000000005</v>
      </c>
      <c r="M71" s="96">
        <v>0</v>
      </c>
      <c r="N71" s="97">
        <v>0</v>
      </c>
      <c r="O71" s="96">
        <v>0</v>
      </c>
      <c r="P71" s="97">
        <v>0</v>
      </c>
      <c r="Q71" s="96">
        <v>0</v>
      </c>
      <c r="R71" s="97">
        <v>0</v>
      </c>
      <c r="S71" s="96">
        <v>0</v>
      </c>
      <c r="T71" s="97">
        <v>0</v>
      </c>
      <c r="U71" s="96"/>
      <c r="V71" s="97"/>
      <c r="W71" s="101">
        <v>0</v>
      </c>
      <c r="X71" s="341">
        <v>0</v>
      </c>
      <c r="Y71" s="411">
        <f t="shared" si="0"/>
        <v>9.4449000000000005</v>
      </c>
      <c r="Z71" s="318">
        <f>VLOOKUP(B71,'АПП+Стомат._план'!$B$4:$AQ$89,42,FALSE)/1000</f>
        <v>0</v>
      </c>
      <c r="AA71" s="401">
        <f t="shared" si="1"/>
        <v>9.4449000000000005</v>
      </c>
      <c r="AB71" s="101"/>
      <c r="AC71" s="217"/>
      <c r="AD71" s="101"/>
      <c r="AE71" s="217"/>
      <c r="AF71" s="408"/>
      <c r="AG71" s="408"/>
    </row>
    <row r="72" spans="1:33" s="236" customFormat="1" ht="15.75" hidden="1" customHeight="1" x14ac:dyDescent="0.25">
      <c r="A72" s="5"/>
      <c r="B72" s="205"/>
      <c r="C72" s="361"/>
      <c r="D72" s="299"/>
      <c r="E72" s="344"/>
      <c r="F72" s="345"/>
      <c r="G72" s="345"/>
      <c r="H72" s="436"/>
      <c r="I72" s="345"/>
      <c r="J72" s="346"/>
      <c r="K72" s="347"/>
      <c r="L72" s="348"/>
      <c r="M72" s="349"/>
      <c r="N72" s="346"/>
      <c r="O72" s="349"/>
      <c r="P72" s="346"/>
      <c r="Q72" s="349"/>
      <c r="R72" s="346"/>
      <c r="S72" s="349"/>
      <c r="T72" s="346"/>
      <c r="U72" s="349"/>
      <c r="V72" s="346"/>
      <c r="W72" s="347"/>
      <c r="X72" s="348"/>
      <c r="Y72" s="412"/>
      <c r="Z72" s="318"/>
      <c r="AA72" s="401"/>
      <c r="AB72" s="96"/>
      <c r="AC72" s="97"/>
      <c r="AD72" s="96"/>
      <c r="AE72" s="97"/>
      <c r="AF72" s="409"/>
      <c r="AG72" s="409"/>
    </row>
    <row r="73" spans="1:33" s="236" customFormat="1" ht="15.75" hidden="1" customHeight="1" x14ac:dyDescent="0.25">
      <c r="A73" s="5"/>
      <c r="B73" s="5"/>
      <c r="C73" s="91" t="s">
        <v>75</v>
      </c>
      <c r="D73" s="101">
        <f>SUM(D8:D72)</f>
        <v>1494858</v>
      </c>
      <c r="E73" s="341">
        <f t="shared" ref="E73:AE73" si="2">SUM(E8:E72)</f>
        <v>2508982.8873690772</v>
      </c>
      <c r="F73" s="101">
        <f t="shared" si="2"/>
        <v>4089</v>
      </c>
      <c r="G73" s="217">
        <f t="shared" si="2"/>
        <v>363511.95423000003</v>
      </c>
      <c r="H73" s="97">
        <f t="shared" si="2"/>
        <v>107190</v>
      </c>
      <c r="I73" s="101">
        <f t="shared" si="2"/>
        <v>2464</v>
      </c>
      <c r="J73" s="217">
        <f t="shared" si="2"/>
        <v>5403.8298000000013</v>
      </c>
      <c r="K73" s="101">
        <f t="shared" si="2"/>
        <v>2902467</v>
      </c>
      <c r="L73" s="341">
        <f t="shared" si="2"/>
        <v>2431673.7755814977</v>
      </c>
      <c r="M73" s="101">
        <f t="shared" si="2"/>
        <v>263562</v>
      </c>
      <c r="N73" s="217">
        <f t="shared" si="2"/>
        <v>772631.2</v>
      </c>
      <c r="O73" s="101">
        <f t="shared" si="2"/>
        <v>78581</v>
      </c>
      <c r="P73" s="217">
        <f t="shared" si="2"/>
        <v>85189.700000000012</v>
      </c>
      <c r="Q73" s="101">
        <f t="shared" si="2"/>
        <v>274189</v>
      </c>
      <c r="R73" s="217">
        <f t="shared" si="2"/>
        <v>562498.70000000007</v>
      </c>
      <c r="S73" s="101">
        <f t="shared" si="2"/>
        <v>270207</v>
      </c>
      <c r="T73" s="217">
        <f t="shared" si="2"/>
        <v>342788.40599</v>
      </c>
      <c r="U73" s="101">
        <f t="shared" si="2"/>
        <v>1730</v>
      </c>
      <c r="V73" s="217">
        <f t="shared" si="2"/>
        <v>34437.380000000005</v>
      </c>
      <c r="W73" s="101">
        <f t="shared" si="2"/>
        <v>542217</v>
      </c>
      <c r="X73" s="341">
        <f t="shared" si="2"/>
        <v>414236.50215999997</v>
      </c>
      <c r="Y73" s="413">
        <f t="shared" si="2"/>
        <v>5354893.1651105741</v>
      </c>
      <c r="Z73" s="410" t="e">
        <f t="shared" si="2"/>
        <v>#N/A</v>
      </c>
      <c r="AA73" s="400" t="e">
        <f t="shared" si="2"/>
        <v>#N/A</v>
      </c>
      <c r="AB73" s="101">
        <f t="shared" si="2"/>
        <v>173</v>
      </c>
      <c r="AC73" s="217">
        <f t="shared" si="2"/>
        <v>3616.6515000000004</v>
      </c>
      <c r="AD73" s="101">
        <f t="shared" si="2"/>
        <v>95</v>
      </c>
      <c r="AE73" s="217">
        <f t="shared" si="2"/>
        <v>1989.1583250000001</v>
      </c>
      <c r="AF73" s="101">
        <f>SUM(AF8:AF72)</f>
        <v>8348</v>
      </c>
      <c r="AG73" s="217">
        <f>SUM(AG8:AG72)</f>
        <v>7696.5536284936024</v>
      </c>
    </row>
    <row r="74" spans="1:33" s="363" customFormat="1" ht="16.5" hidden="1" customHeight="1" x14ac:dyDescent="0.25">
      <c r="A74" s="362"/>
      <c r="B74" s="362"/>
      <c r="C74" s="363" t="s">
        <v>228</v>
      </c>
      <c r="D74" s="364">
        <v>287630</v>
      </c>
      <c r="E74" s="365">
        <v>544863.01</v>
      </c>
      <c r="H74" s="366"/>
      <c r="K74" s="364">
        <v>188136</v>
      </c>
      <c r="L74" s="365">
        <v>148139.59045189153</v>
      </c>
      <c r="U74" s="367"/>
      <c r="W74" s="364">
        <v>15266</v>
      </c>
      <c r="X74" s="365">
        <v>15025.435774628437</v>
      </c>
      <c r="Y74" s="365">
        <f>E74+L74+X74</f>
        <v>708028.03622651997</v>
      </c>
      <c r="AB74" s="96"/>
      <c r="AC74" s="97"/>
      <c r="AD74" s="96"/>
      <c r="AE74" s="97"/>
    </row>
    <row r="75" spans="1:33" s="375" customFormat="1" ht="16.5" hidden="1" customHeight="1" x14ac:dyDescent="0.25">
      <c r="A75" s="368"/>
      <c r="B75" s="368"/>
      <c r="C75" s="369" t="s">
        <v>229</v>
      </c>
      <c r="D75" s="370">
        <v>63091</v>
      </c>
      <c r="E75" s="371">
        <v>131743.20000000001</v>
      </c>
      <c r="F75" s="370"/>
      <c r="G75" s="372"/>
      <c r="H75" s="373"/>
      <c r="I75" s="370"/>
      <c r="J75" s="372"/>
      <c r="K75" s="370"/>
      <c r="L75" s="371"/>
      <c r="M75" s="370"/>
      <c r="N75" s="372"/>
      <c r="O75" s="370"/>
      <c r="P75" s="372"/>
      <c r="Q75" s="370"/>
      <c r="R75" s="372"/>
      <c r="S75" s="370"/>
      <c r="T75" s="372"/>
      <c r="U75" s="370"/>
      <c r="V75" s="372"/>
      <c r="W75" s="370"/>
      <c r="X75" s="371"/>
      <c r="Y75" s="374">
        <v>131743.19999999998</v>
      </c>
      <c r="AB75" s="101"/>
      <c r="AC75" s="217"/>
      <c r="AD75" s="101"/>
      <c r="AE75" s="217"/>
    </row>
    <row r="76" spans="1:33" s="337" customFormat="1" ht="15.75" hidden="1" customHeight="1" x14ac:dyDescent="0.25">
      <c r="A76" s="376"/>
      <c r="B76" s="376"/>
      <c r="C76" s="377" t="s">
        <v>230</v>
      </c>
      <c r="D76" s="378"/>
      <c r="E76" s="379"/>
      <c r="F76" s="378"/>
      <c r="G76" s="380"/>
      <c r="H76" s="381"/>
      <c r="I76" s="378"/>
      <c r="J76" s="380"/>
      <c r="K76" s="378"/>
      <c r="L76" s="382">
        <v>26275.919999999998</v>
      </c>
      <c r="M76" s="378"/>
      <c r="N76" s="380"/>
      <c r="O76" s="378"/>
      <c r="P76" s="380"/>
      <c r="Q76" s="378"/>
      <c r="R76" s="380"/>
      <c r="S76" s="378"/>
      <c r="T76" s="380"/>
      <c r="U76" s="378"/>
      <c r="V76" s="382">
        <v>26275.919999999998</v>
      </c>
      <c r="W76" s="378"/>
      <c r="X76" s="379"/>
      <c r="Y76" s="382">
        <v>26275.919999999998</v>
      </c>
    </row>
    <row r="77" spans="1:33" ht="15.75" customHeight="1" x14ac:dyDescent="0.25">
      <c r="A77" s="205"/>
      <c r="B77" s="205"/>
      <c r="C77" s="236" t="s">
        <v>215</v>
      </c>
      <c r="D77" s="227">
        <f>SUM(D73:D76)</f>
        <v>1845579</v>
      </c>
      <c r="E77" s="383">
        <f t="shared" ref="E77:Y77" si="3">SUM(E73:E76)</f>
        <v>3185589.0973690776</v>
      </c>
      <c r="F77" s="227">
        <f t="shared" si="3"/>
        <v>4089</v>
      </c>
      <c r="G77" s="229">
        <f t="shared" si="3"/>
        <v>363511.95423000003</v>
      </c>
      <c r="H77" s="229">
        <f t="shared" si="3"/>
        <v>107190</v>
      </c>
      <c r="I77" s="227">
        <f t="shared" si="3"/>
        <v>2464</v>
      </c>
      <c r="J77" s="229">
        <f t="shared" si="3"/>
        <v>5403.8298000000013</v>
      </c>
      <c r="K77" s="227">
        <f>SUM(K73:K76)</f>
        <v>3090603</v>
      </c>
      <c r="L77" s="383">
        <f t="shared" si="3"/>
        <v>2606089.2860333892</v>
      </c>
      <c r="M77" s="229">
        <f t="shared" si="3"/>
        <v>263562</v>
      </c>
      <c r="N77" s="229">
        <f t="shared" si="3"/>
        <v>772631.2</v>
      </c>
      <c r="O77" s="229">
        <f t="shared" si="3"/>
        <v>78581</v>
      </c>
      <c r="P77" s="229">
        <f t="shared" si="3"/>
        <v>85189.700000000012</v>
      </c>
      <c r="Q77" s="229">
        <f t="shared" si="3"/>
        <v>274189</v>
      </c>
      <c r="R77" s="229">
        <f t="shared" si="3"/>
        <v>562498.70000000007</v>
      </c>
      <c r="S77" s="229">
        <f t="shared" si="3"/>
        <v>270207</v>
      </c>
      <c r="T77" s="229">
        <f t="shared" si="3"/>
        <v>342788.40599</v>
      </c>
      <c r="U77" s="227">
        <f t="shared" si="3"/>
        <v>1730</v>
      </c>
      <c r="V77" s="229">
        <f t="shared" si="3"/>
        <v>60713.3</v>
      </c>
      <c r="W77" s="227">
        <f t="shared" si="3"/>
        <v>557483</v>
      </c>
      <c r="X77" s="383">
        <f t="shared" si="3"/>
        <v>429261.9379346284</v>
      </c>
      <c r="Y77" s="383">
        <f t="shared" si="3"/>
        <v>6220940.3213370945</v>
      </c>
    </row>
    <row r="78" spans="1:33" s="390" customFormat="1" ht="15.75" customHeight="1" x14ac:dyDescent="0.25">
      <c r="A78" s="385"/>
      <c r="B78" s="385"/>
      <c r="C78" s="33" t="s">
        <v>216</v>
      </c>
      <c r="D78" s="386">
        <v>1845579</v>
      </c>
      <c r="E78" s="387">
        <v>3187499.5</v>
      </c>
      <c r="F78" s="386"/>
      <c r="G78" s="388"/>
      <c r="H78" s="389"/>
      <c r="I78" s="386"/>
      <c r="J78" s="388"/>
      <c r="K78" s="386">
        <f>2818663+270210+1730</f>
        <v>3090603</v>
      </c>
      <c r="L78" s="387">
        <f>2202587.6+342788.4+60713.3</f>
        <v>2606089.2999999998</v>
      </c>
      <c r="M78" s="386"/>
      <c r="N78" s="388" t="s">
        <v>231</v>
      </c>
      <c r="O78" s="386"/>
      <c r="P78" s="388"/>
      <c r="Q78" s="386"/>
      <c r="R78" s="388"/>
      <c r="S78" s="386"/>
      <c r="T78" s="388"/>
      <c r="U78" s="386"/>
      <c r="V78" s="388"/>
      <c r="W78" s="386">
        <v>557483</v>
      </c>
      <c r="X78" s="387">
        <v>429261.9</v>
      </c>
      <c r="Y78" s="387">
        <f>E78+L78+X78</f>
        <v>6222850.7000000002</v>
      </c>
    </row>
    <row r="79" spans="1:33" ht="15.75" customHeight="1" x14ac:dyDescent="0.25">
      <c r="A79" s="205"/>
      <c r="B79" s="205"/>
      <c r="C79" s="226"/>
      <c r="D79" s="227">
        <f>D77-D78</f>
        <v>0</v>
      </c>
      <c r="E79" s="229">
        <f>E77-E78</f>
        <v>-1910.4026309223846</v>
      </c>
      <c r="F79" s="321"/>
      <c r="G79" s="321"/>
      <c r="H79" s="321"/>
      <c r="I79" s="321"/>
      <c r="J79" s="321"/>
      <c r="K79" s="227">
        <f t="shared" ref="K79:L79" si="4">K77-K78</f>
        <v>0</v>
      </c>
      <c r="L79" s="383">
        <f t="shared" si="4"/>
        <v>-1.396661065518856E-2</v>
      </c>
      <c r="M79" s="321"/>
      <c r="N79" s="321"/>
      <c r="O79" s="321"/>
      <c r="P79" s="321"/>
      <c r="Q79" s="321"/>
      <c r="R79" s="321"/>
      <c r="S79" s="321"/>
      <c r="T79" s="321"/>
      <c r="U79" s="321"/>
      <c r="V79" s="321"/>
      <c r="W79" s="321">
        <f t="shared" ref="W79:Y79" si="5">W77-W78</f>
        <v>0</v>
      </c>
      <c r="X79" s="391">
        <f t="shared" si="5"/>
        <v>3.7934628373477608E-2</v>
      </c>
      <c r="Y79" s="391">
        <f t="shared" si="5"/>
        <v>-1910.3786629056558</v>
      </c>
    </row>
    <row r="80" spans="1:33" ht="21.75" customHeight="1" x14ac:dyDescent="0.25">
      <c r="B80" s="202">
        <v>1</v>
      </c>
      <c r="C80" s="202">
        <v>2</v>
      </c>
      <c r="D80" s="321">
        <v>3</v>
      </c>
      <c r="E80" s="202">
        <v>4</v>
      </c>
      <c r="F80" s="202">
        <v>5</v>
      </c>
      <c r="G80" s="321">
        <v>6</v>
      </c>
      <c r="H80" s="202">
        <v>7</v>
      </c>
      <c r="I80" s="202">
        <v>8</v>
      </c>
      <c r="J80" s="321">
        <v>9</v>
      </c>
      <c r="K80" s="202">
        <v>10</v>
      </c>
      <c r="L80" s="202">
        <v>11</v>
      </c>
      <c r="M80" s="321">
        <v>12</v>
      </c>
      <c r="N80" s="202">
        <v>13</v>
      </c>
      <c r="O80" s="202">
        <v>14</v>
      </c>
      <c r="P80" s="321">
        <v>15</v>
      </c>
      <c r="Q80" s="202">
        <v>16</v>
      </c>
      <c r="R80" s="202">
        <v>17</v>
      </c>
      <c r="S80" s="321">
        <v>18</v>
      </c>
      <c r="T80" s="202">
        <v>19</v>
      </c>
      <c r="U80" s="202">
        <v>20</v>
      </c>
      <c r="V80" s="321">
        <v>21</v>
      </c>
      <c r="W80" s="202">
        <v>22</v>
      </c>
      <c r="X80" s="202">
        <v>23</v>
      </c>
      <c r="Y80" s="321">
        <v>24</v>
      </c>
    </row>
    <row r="81" spans="3:8" ht="21.75" customHeight="1" x14ac:dyDescent="0.25">
      <c r="E81" s="402"/>
    </row>
    <row r="82" spans="3:8" ht="21.75" customHeight="1" x14ac:dyDescent="0.25">
      <c r="C82" s="390" t="s">
        <v>239</v>
      </c>
      <c r="E82" s="441">
        <f>SUM(E20:E46)-H82</f>
        <v>1722070.9563690776</v>
      </c>
      <c r="H82" s="402">
        <f>SUM(H20:H46)</f>
        <v>26100</v>
      </c>
    </row>
  </sheetData>
  <autoFilter ref="A7:Y76" xr:uid="{72D29DC3-E7FA-4FA4-926F-52D0A9643975}">
    <filterColumn colId="2">
      <colorFilter dxfId="0" cellColor="0"/>
    </filterColumn>
    <sortState xmlns:xlrd2="http://schemas.microsoft.com/office/spreadsheetml/2017/richdata2" ref="A21:Y76">
      <sortCondition sortBy="fontColor" ref="C7:C76" dxfId="1"/>
    </sortState>
  </autoFilter>
  <mergeCells count="17">
    <mergeCell ref="U6:V6"/>
    <mergeCell ref="A6:A7"/>
    <mergeCell ref="B6:B7"/>
    <mergeCell ref="C6:C7"/>
    <mergeCell ref="D6:E6"/>
    <mergeCell ref="F6:G6"/>
    <mergeCell ref="I6:J6"/>
    <mergeCell ref="K6:L6"/>
    <mergeCell ref="M6:N6"/>
    <mergeCell ref="O6:P6"/>
    <mergeCell ref="Q6:R6"/>
    <mergeCell ref="S6:T6"/>
    <mergeCell ref="W6:X6"/>
    <mergeCell ref="Y6:Y7"/>
    <mergeCell ref="AB6:AC6"/>
    <mergeCell ref="AD6:AE6"/>
    <mergeCell ref="AF6:AG6"/>
  </mergeCells>
  <pageMargins left="0.78740157480314965" right="0.39370078740157483" top="0.78740157480314965" bottom="0.78740157480314965" header="0" footer="0"/>
  <pageSetup paperSize="9" scale="77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17</vt:i4>
      </vt:variant>
    </vt:vector>
  </HeadingPairs>
  <TitlesOfParts>
    <vt:vector size="30" baseType="lpstr">
      <vt:lpstr>АПП+Стомат._0</vt:lpstr>
      <vt:lpstr>АПП БАЗ (факт)</vt:lpstr>
      <vt:lpstr>АПП Баз</vt:lpstr>
      <vt:lpstr>АПП+Стомат.</vt:lpstr>
      <vt:lpstr>АПП Баз (2)</vt:lpstr>
      <vt:lpstr>АПП+Стомат._план</vt:lpstr>
      <vt:lpstr>Свод по подушевому</vt:lpstr>
      <vt:lpstr>Свод по подушевому (1)</vt:lpstr>
      <vt:lpstr>АПП Баз (1)</vt:lpstr>
      <vt:lpstr>АПП+Стомат. (1)</vt:lpstr>
      <vt:lpstr>АПП БАЗ (0)</vt:lpstr>
      <vt:lpstr>АПП+Стомат. (0)</vt:lpstr>
      <vt:lpstr>АПП БАЗ (договоры)</vt:lpstr>
      <vt:lpstr>'АПП Баз'!Заголовки_для_печати</vt:lpstr>
      <vt:lpstr>'АПП БАЗ (0)'!Заголовки_для_печати</vt:lpstr>
      <vt:lpstr>'АПП Баз (1)'!Заголовки_для_печати</vt:lpstr>
      <vt:lpstr>'АПП Баз (2)'!Заголовки_для_печати</vt:lpstr>
      <vt:lpstr>'АПП БАЗ (договоры)'!Заголовки_для_печати</vt:lpstr>
      <vt:lpstr>'АПП БАЗ (факт)'!Заголовки_для_печати</vt:lpstr>
      <vt:lpstr>'АПП+Стомат.'!Заголовки_для_печати</vt:lpstr>
      <vt:lpstr>'АПП+Стомат. (0)'!Заголовки_для_печати</vt:lpstr>
      <vt:lpstr>'АПП+Стомат. (1)'!Заголовки_для_печати</vt:lpstr>
      <vt:lpstr>'АПП+Стомат._0'!Заголовки_для_печати</vt:lpstr>
      <vt:lpstr>'АПП+Стомат._план'!Заголовки_для_печати</vt:lpstr>
      <vt:lpstr>'АПП Баз'!Область_печати</vt:lpstr>
      <vt:lpstr>'АПП БАЗ (0)'!Область_печати</vt:lpstr>
      <vt:lpstr>'АПП Баз (1)'!Область_печати</vt:lpstr>
      <vt:lpstr>'АПП Баз (2)'!Область_печати</vt:lpstr>
      <vt:lpstr>'АПП БАЗ (договоры)'!Область_печати</vt:lpstr>
      <vt:lpstr>'АПП БАЗ (факт)'!Область_печати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2024-03-01T13:23:55Z</cp:lastPrinted>
  <dcterms:created xsi:type="dcterms:W3CDTF">2021-01-11T14:44:27Z</dcterms:created>
  <dcterms:modified xsi:type="dcterms:W3CDTF">2024-03-04T10:59:40Z</dcterms:modified>
</cp:coreProperties>
</file>